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0" tabRatio="988" activeTab="1"/>
  </bookViews>
  <sheets>
    <sheet name="Rezepteingabe" sheetId="1" r:id="rId1"/>
    <sheet name="Rezeptdruck" sheetId="2" r:id="rId2"/>
    <sheet name="Etikett deutsch" sheetId="3" r:id="rId3"/>
    <sheet name="Etikett INCI" sheetId="4" r:id="rId4"/>
    <sheet name="VZ ändern" sheetId="5" r:id="rId5"/>
    <sheet name="Tabelle5" sheetId="6" state="hidden" r:id="rId6"/>
    <sheet name="Tabelle6" sheetId="7" state="hidden" r:id="rId7"/>
  </sheets>
  <definedNames>
    <definedName name="_xlnm.Print_Area" localSheetId="1">Rezeptdruck!$A$1:$F$56</definedName>
  </definedNames>
  <calcPr calcId="145621"/>
</workbook>
</file>

<file path=xl/calcChain.xml><?xml version="1.0" encoding="utf-8"?>
<calcChain xmlns="http://schemas.openxmlformats.org/spreadsheetml/2006/main">
  <c r="D9" i="2" l="1"/>
  <c r="C4" i="2"/>
  <c r="A21" i="6" l="1"/>
  <c r="B21" i="6" s="1"/>
  <c r="A22" i="6"/>
  <c r="C22" i="6" s="1"/>
  <c r="A23" i="6"/>
  <c r="B23" i="6" s="1"/>
  <c r="A24" i="6"/>
  <c r="D24" i="6" s="1"/>
  <c r="A25" i="6"/>
  <c r="B25" i="6" s="1"/>
  <c r="A26" i="6"/>
  <c r="C26" i="6" s="1"/>
  <c r="A20" i="6"/>
  <c r="B20" i="6" s="1"/>
  <c r="A8" i="6"/>
  <c r="D8" i="6" s="1"/>
  <c r="A9" i="6"/>
  <c r="D9" i="6" s="1"/>
  <c r="B16" i="2"/>
  <c r="D20" i="1"/>
  <c r="B8" i="6" l="1"/>
  <c r="C8" i="6" s="1"/>
  <c r="B9" i="6"/>
  <c r="C9" i="6" s="1"/>
  <c r="C20" i="6"/>
  <c r="C24" i="6"/>
  <c r="D26" i="6"/>
  <c r="D22" i="6"/>
  <c r="B26" i="6"/>
  <c r="B24" i="6"/>
  <c r="B22" i="6"/>
  <c r="D25" i="6"/>
  <c r="D21" i="6"/>
  <c r="D20" i="6"/>
  <c r="C23" i="6"/>
  <c r="D23" i="6"/>
  <c r="C25" i="6"/>
  <c r="C21" i="6"/>
  <c r="C1" i="2"/>
  <c r="C2" i="2"/>
  <c r="C3" i="2"/>
  <c r="B8" i="2"/>
  <c r="C8" i="2" s="1"/>
  <c r="D8" i="2"/>
  <c r="D10" i="2"/>
  <c r="D11" i="2"/>
  <c r="D12" i="2"/>
  <c r="D4" i="1"/>
  <c r="E5" i="1"/>
  <c r="E8" i="2" s="1"/>
  <c r="A3" i="6" s="1"/>
  <c r="D6" i="1"/>
  <c r="D7" i="1"/>
  <c r="I9" i="1"/>
  <c r="E10" i="1"/>
  <c r="G10" i="1" s="1"/>
  <c r="H14" i="1" s="1"/>
  <c r="I10" i="1"/>
  <c r="G25" i="1" s="1"/>
  <c r="J10" i="1"/>
  <c r="D11" i="1"/>
  <c r="C11" i="1" s="1"/>
  <c r="F11" i="1"/>
  <c r="R11" i="1"/>
  <c r="W11" i="1"/>
  <c r="AC11" i="1"/>
  <c r="D12" i="1"/>
  <c r="G12" i="1" s="1"/>
  <c r="D13" i="1"/>
  <c r="O13" i="1" s="1"/>
  <c r="U13" i="1"/>
  <c r="D14" i="1"/>
  <c r="T14" i="1" s="1"/>
  <c r="F14" i="1"/>
  <c r="D15" i="1"/>
  <c r="W15" i="1" s="1"/>
  <c r="D16" i="1"/>
  <c r="G16" i="1" s="1"/>
  <c r="L16" i="1" s="1"/>
  <c r="D17" i="1"/>
  <c r="R17" i="1" s="1"/>
  <c r="F17" i="1"/>
  <c r="O17" i="1"/>
  <c r="Z17" i="1"/>
  <c r="D18" i="1"/>
  <c r="W18" i="1" s="1"/>
  <c r="G18" i="1"/>
  <c r="H18" i="1"/>
  <c r="O18" i="1"/>
  <c r="Q18" i="1"/>
  <c r="T18" i="1"/>
  <c r="Y18" i="1"/>
  <c r="AB18" i="1"/>
  <c r="D19" i="1"/>
  <c r="O19" i="1" s="1"/>
  <c r="F19" i="1"/>
  <c r="G19" i="1"/>
  <c r="R19" i="1"/>
  <c r="U19" i="1"/>
  <c r="W19" i="1"/>
  <c r="AC19" i="1"/>
  <c r="F20" i="1"/>
  <c r="H20" i="1"/>
  <c r="E21" i="1"/>
  <c r="E22" i="1" s="1"/>
  <c r="F21" i="1"/>
  <c r="C23" i="1"/>
  <c r="D23" i="1"/>
  <c r="E25" i="1"/>
  <c r="F25" i="1" s="1"/>
  <c r="E26" i="1"/>
  <c r="F26" i="1" s="1"/>
  <c r="G26" i="1"/>
  <c r="B3" i="6" l="1"/>
  <c r="C3" i="6" s="1"/>
  <c r="D3" i="6"/>
  <c r="I16" i="1"/>
  <c r="W17" i="1"/>
  <c r="Q16" i="1"/>
  <c r="AA11" i="1"/>
  <c r="V11" i="1"/>
  <c r="Q11" i="1"/>
  <c r="B17" i="2"/>
  <c r="C17" i="2" s="1"/>
  <c r="AB16" i="1"/>
  <c r="U17" i="1"/>
  <c r="G17" i="1"/>
  <c r="M17" i="1" s="1"/>
  <c r="J17" i="1" s="1"/>
  <c r="Y16" i="1"/>
  <c r="O16" i="1"/>
  <c r="W13" i="1"/>
  <c r="T12" i="1"/>
  <c r="Z11" i="1"/>
  <c r="U11" i="1"/>
  <c r="O11" i="1"/>
  <c r="T16" i="1"/>
  <c r="AC17" i="1"/>
  <c r="W16" i="1"/>
  <c r="Y11" i="1"/>
  <c r="S11" i="1"/>
  <c r="H12" i="1"/>
  <c r="H21" i="1"/>
  <c r="F18" i="1"/>
  <c r="F16" i="1"/>
  <c r="F15" i="1"/>
  <c r="F13" i="1"/>
  <c r="F12" i="1"/>
  <c r="H16" i="1"/>
  <c r="W12" i="1"/>
  <c r="AB12" i="1"/>
  <c r="Q12" i="1"/>
  <c r="N12" i="1"/>
  <c r="D18" i="2" s="1"/>
  <c r="K12" i="1"/>
  <c r="E18" i="2" s="1"/>
  <c r="A12" i="6" s="1"/>
  <c r="N18" i="1"/>
  <c r="D24" i="2" s="1"/>
  <c r="M18" i="1"/>
  <c r="J18" i="1" s="1"/>
  <c r="K18" i="1"/>
  <c r="E24" i="2" s="1"/>
  <c r="A18" i="6" s="1"/>
  <c r="B21" i="2"/>
  <c r="C15" i="1"/>
  <c r="P15" i="1"/>
  <c r="T15" i="1"/>
  <c r="X15" i="1"/>
  <c r="AB15" i="1"/>
  <c r="S15" i="1"/>
  <c r="Y15" i="1"/>
  <c r="Q15" i="1"/>
  <c r="V15" i="1"/>
  <c r="AA15" i="1"/>
  <c r="B20" i="2"/>
  <c r="R14" i="1"/>
  <c r="V14" i="1"/>
  <c r="Z14" i="1"/>
  <c r="C14" i="1"/>
  <c r="S14" i="1"/>
  <c r="X14" i="1"/>
  <c r="AC14" i="1"/>
  <c r="P14" i="1"/>
  <c r="U14" i="1"/>
  <c r="AA14" i="1"/>
  <c r="G20" i="1"/>
  <c r="Z19" i="1"/>
  <c r="L18" i="1"/>
  <c r="I18" i="1" s="1"/>
  <c r="B23" i="2"/>
  <c r="C17" i="1"/>
  <c r="P17" i="1"/>
  <c r="T17" i="1"/>
  <c r="X17" i="1"/>
  <c r="AB17" i="1"/>
  <c r="S17" i="1"/>
  <c r="Y17" i="1"/>
  <c r="Q17" i="1"/>
  <c r="V17" i="1"/>
  <c r="AA17" i="1"/>
  <c r="B22" i="2"/>
  <c r="R16" i="1"/>
  <c r="V16" i="1"/>
  <c r="Z16" i="1"/>
  <c r="C16" i="1"/>
  <c r="S16" i="1"/>
  <c r="X16" i="1"/>
  <c r="AC16" i="1"/>
  <c r="P16" i="1"/>
  <c r="U16" i="1"/>
  <c r="AA16" i="1"/>
  <c r="U15" i="1"/>
  <c r="AB14" i="1"/>
  <c r="Q14" i="1"/>
  <c r="AC13" i="1"/>
  <c r="R13" i="1"/>
  <c r="G13" i="1"/>
  <c r="Y12" i="1"/>
  <c r="O12" i="1"/>
  <c r="L19" i="1"/>
  <c r="I19" i="1" s="1"/>
  <c r="N19" i="1"/>
  <c r="D25" i="2" s="1"/>
  <c r="K19" i="1"/>
  <c r="E25" i="2" s="1"/>
  <c r="A19" i="6" s="1"/>
  <c r="M19" i="1"/>
  <c r="J19" i="1" s="1"/>
  <c r="B25" i="2"/>
  <c r="C19" i="1"/>
  <c r="P19" i="1"/>
  <c r="T19" i="1"/>
  <c r="X19" i="1"/>
  <c r="AB19" i="1"/>
  <c r="S19" i="1"/>
  <c r="Y19" i="1"/>
  <c r="Q19" i="1"/>
  <c r="V19" i="1"/>
  <c r="AA19" i="1"/>
  <c r="B24" i="2"/>
  <c r="R18" i="1"/>
  <c r="V18" i="1"/>
  <c r="Z18" i="1"/>
  <c r="C18" i="1"/>
  <c r="S18" i="1"/>
  <c r="X18" i="1"/>
  <c r="AC18" i="1"/>
  <c r="P18" i="1"/>
  <c r="U18" i="1"/>
  <c r="AA18" i="1"/>
  <c r="AC15" i="1"/>
  <c r="R15" i="1"/>
  <c r="G15" i="1"/>
  <c r="Y14" i="1"/>
  <c r="O14" i="1"/>
  <c r="G14" i="1"/>
  <c r="Z13" i="1"/>
  <c r="N16" i="1"/>
  <c r="D22" i="2" s="1"/>
  <c r="M16" i="1"/>
  <c r="J16" i="1" s="1"/>
  <c r="K16" i="1"/>
  <c r="E22" i="2" s="1"/>
  <c r="A16" i="6" s="1"/>
  <c r="Z15" i="1"/>
  <c r="O15" i="1"/>
  <c r="W14" i="1"/>
  <c r="B19" i="2"/>
  <c r="C13" i="1"/>
  <c r="P13" i="1"/>
  <c r="T13" i="1"/>
  <c r="X13" i="1"/>
  <c r="AB13" i="1"/>
  <c r="S13" i="1"/>
  <c r="Y13" i="1"/>
  <c r="Q13" i="1"/>
  <c r="V13" i="1"/>
  <c r="AA13" i="1"/>
  <c r="B18" i="2"/>
  <c r="R12" i="1"/>
  <c r="V12" i="1"/>
  <c r="Z12" i="1"/>
  <c r="C12" i="1"/>
  <c r="S12" i="1"/>
  <c r="X12" i="1"/>
  <c r="AC12" i="1"/>
  <c r="P12" i="1"/>
  <c r="U12" i="1"/>
  <c r="AA12" i="1"/>
  <c r="G11" i="1"/>
  <c r="H11" i="1"/>
  <c r="H13" i="1"/>
  <c r="H15" i="1"/>
  <c r="H17" i="1"/>
  <c r="H19" i="1"/>
  <c r="AB11" i="1"/>
  <c r="X11" i="1"/>
  <c r="T11" i="1"/>
  <c r="P11" i="1"/>
  <c r="L17" i="1" l="1"/>
  <c r="I17" i="1" s="1"/>
  <c r="K17" i="1"/>
  <c r="E23" i="2" s="1"/>
  <c r="A17" i="6" s="1"/>
  <c r="D17" i="6" s="1"/>
  <c r="N17" i="1"/>
  <c r="D23" i="2" s="1"/>
  <c r="B18" i="6"/>
  <c r="D18" i="6"/>
  <c r="C18" i="6"/>
  <c r="C16" i="6"/>
  <c r="B16" i="6"/>
  <c r="D16" i="6"/>
  <c r="C19" i="6"/>
  <c r="B19" i="6"/>
  <c r="D19" i="6"/>
  <c r="B12" i="6"/>
  <c r="D12" i="6"/>
  <c r="N14" i="1"/>
  <c r="D20" i="2" s="1"/>
  <c r="K14" i="1"/>
  <c r="E20" i="2" s="1"/>
  <c r="A14" i="6" s="1"/>
  <c r="C24" i="2"/>
  <c r="C23" i="2"/>
  <c r="N13" i="1"/>
  <c r="D19" i="2" s="1"/>
  <c r="K13" i="1"/>
  <c r="E19" i="2" s="1"/>
  <c r="A13" i="6" s="1"/>
  <c r="C22" i="2"/>
  <c r="C21" i="2"/>
  <c r="C19" i="2"/>
  <c r="C20" i="2"/>
  <c r="N11" i="1"/>
  <c r="D17" i="2" s="1"/>
  <c r="K11" i="1"/>
  <c r="L11" i="1" s="1"/>
  <c r="M11" i="1" s="1"/>
  <c r="J11" i="1" s="1"/>
  <c r="G21" i="1"/>
  <c r="C18" i="2"/>
  <c r="C12" i="6" s="1"/>
  <c r="N15" i="1"/>
  <c r="D21" i="2" s="1"/>
  <c r="K15" i="1"/>
  <c r="E21" i="2" s="1"/>
  <c r="A15" i="6" s="1"/>
  <c r="C25" i="2"/>
  <c r="N20" i="1"/>
  <c r="D16" i="2" s="1"/>
  <c r="K20" i="1"/>
  <c r="E16" i="2" s="1"/>
  <c r="A10" i="6" s="1"/>
  <c r="L12" i="1"/>
  <c r="L15" i="1" l="1"/>
  <c r="C17" i="6"/>
  <c r="B17" i="6"/>
  <c r="C15" i="6"/>
  <c r="B15" i="6"/>
  <c r="D15" i="6"/>
  <c r="D13" i="6"/>
  <c r="C13" i="6"/>
  <c r="B13" i="6"/>
  <c r="B14" i="6"/>
  <c r="D14" i="6"/>
  <c r="C14" i="6"/>
  <c r="C10" i="6"/>
  <c r="B10" i="6"/>
  <c r="D10" i="6"/>
  <c r="L20" i="1"/>
  <c r="X21" i="1"/>
  <c r="D50" i="2" s="1"/>
  <c r="T21" i="1"/>
  <c r="L13" i="1"/>
  <c r="I11" i="1"/>
  <c r="P21" i="1"/>
  <c r="AB21" i="1"/>
  <c r="D54" i="2" s="1"/>
  <c r="I12" i="1"/>
  <c r="M12" i="1"/>
  <c r="J12" i="1" s="1"/>
  <c r="E17" i="2"/>
  <c r="A11" i="6" s="1"/>
  <c r="K21" i="1"/>
  <c r="L14" i="1"/>
  <c r="R21" i="1"/>
  <c r="O21" i="1"/>
  <c r="Y21" i="1"/>
  <c r="D51" i="2" s="1"/>
  <c r="Q21" i="1"/>
  <c r="U21" i="1"/>
  <c r="S21" i="1"/>
  <c r="AA21" i="1"/>
  <c r="D53" i="2" s="1"/>
  <c r="AC21" i="1"/>
  <c r="D55" i="2" s="1"/>
  <c r="W21" i="1"/>
  <c r="D49" i="2" s="1"/>
  <c r="Z21" i="1"/>
  <c r="D52" i="2" s="1"/>
  <c r="V21" i="1"/>
  <c r="D48" i="2" s="1"/>
  <c r="I15" i="1" l="1"/>
  <c r="M15" i="1"/>
  <c r="J15" i="1" s="1"/>
  <c r="C11" i="6"/>
  <c r="B11" i="6"/>
  <c r="D11" i="6"/>
  <c r="I20" i="1"/>
  <c r="M20" i="1"/>
  <c r="J20" i="1" s="1"/>
  <c r="L21" i="1"/>
  <c r="C51" i="2"/>
  <c r="C30" i="1"/>
  <c r="C54" i="2"/>
  <c r="C33" i="1"/>
  <c r="J3" i="1"/>
  <c r="E12" i="2" s="1"/>
  <c r="A7" i="6" s="1"/>
  <c r="E5" i="2"/>
  <c r="G23" i="1"/>
  <c r="C53" i="2"/>
  <c r="C32" i="1"/>
  <c r="C50" i="2"/>
  <c r="C29" i="1"/>
  <c r="I14" i="1"/>
  <c r="M14" i="1"/>
  <c r="J14" i="1" s="1"/>
  <c r="I13" i="1"/>
  <c r="M13" i="1"/>
  <c r="J13" i="1" s="1"/>
  <c r="C52" i="2"/>
  <c r="C31" i="1"/>
  <c r="C48" i="2"/>
  <c r="C27" i="1"/>
  <c r="C49" i="2"/>
  <c r="C28" i="1"/>
  <c r="J21" i="1" l="1"/>
  <c r="I26" i="1" s="1"/>
  <c r="J26" i="1" s="1"/>
  <c r="D7" i="6"/>
  <c r="B7" i="6"/>
  <c r="C7" i="6" s="1"/>
  <c r="M21" i="1"/>
  <c r="E11" i="2" s="1"/>
  <c r="I21" i="1"/>
  <c r="E9" i="2"/>
  <c r="A4" i="6" s="1"/>
  <c r="M23" i="1"/>
  <c r="L23" i="1"/>
  <c r="A6" i="6" l="1"/>
  <c r="D6" i="6" s="1"/>
  <c r="B11" i="2"/>
  <c r="C11" i="2"/>
  <c r="D4" i="6"/>
  <c r="M25" i="1"/>
  <c r="B9" i="2"/>
  <c r="C9" i="2" s="1"/>
  <c r="I23" i="1"/>
  <c r="I25" i="1" s="1"/>
  <c r="J25" i="1" s="1"/>
  <c r="L25" i="1"/>
  <c r="E10" i="2"/>
  <c r="A5" i="6" s="1"/>
  <c r="B6" i="6" l="1"/>
  <c r="C6" i="6" s="1"/>
  <c r="D5" i="6"/>
  <c r="F5" i="6" s="1"/>
  <c r="G5" i="6" s="1"/>
  <c r="B5" i="6"/>
  <c r="C5" i="6" s="1"/>
  <c r="B4" i="6"/>
  <c r="C4" i="6" s="1"/>
  <c r="E6" i="2"/>
  <c r="F20" i="6" l="1"/>
  <c r="G20" i="6" s="1"/>
  <c r="I20" i="6" s="1"/>
  <c r="I5" i="6"/>
  <c r="H5" i="6"/>
  <c r="F12" i="6"/>
  <c r="G12" i="6" s="1"/>
  <c r="F19" i="6"/>
  <c r="G19" i="6" s="1"/>
  <c r="F22" i="6"/>
  <c r="G22" i="6" s="1"/>
  <c r="F18" i="6"/>
  <c r="G18" i="6" s="1"/>
  <c r="F17" i="6"/>
  <c r="G17" i="6" s="1"/>
  <c r="F8" i="6"/>
  <c r="G8" i="6" s="1"/>
  <c r="F24" i="6"/>
  <c r="F4" i="6"/>
  <c r="G4" i="6" s="1"/>
  <c r="F15" i="6"/>
  <c r="G15" i="6" s="1"/>
  <c r="F14" i="6"/>
  <c r="G14" i="6" s="1"/>
  <c r="F10" i="6"/>
  <c r="G10" i="6" s="1"/>
  <c r="F13" i="6"/>
  <c r="G13" i="6" s="1"/>
  <c r="F3" i="6"/>
  <c r="F11" i="6"/>
  <c r="G11" i="6" s="1"/>
  <c r="F6" i="6"/>
  <c r="G6" i="6" s="1"/>
  <c r="F25" i="6"/>
  <c r="F9" i="6"/>
  <c r="F16" i="6"/>
  <c r="G16" i="6" s="1"/>
  <c r="F23" i="6"/>
  <c r="F7" i="6"/>
  <c r="G7" i="6" s="1"/>
  <c r="F26" i="6"/>
  <c r="F21" i="6"/>
  <c r="G21" i="6" s="1"/>
  <c r="E5" i="6"/>
  <c r="E18" i="6" l="1"/>
  <c r="H20" i="6"/>
  <c r="E12" i="6"/>
  <c r="E15" i="6"/>
  <c r="E14" i="6"/>
  <c r="E19" i="6"/>
  <c r="E8" i="6"/>
  <c r="E16" i="6"/>
  <c r="E20" i="6"/>
  <c r="E17" i="6"/>
  <c r="E6" i="6"/>
  <c r="E7" i="6"/>
  <c r="I21" i="6"/>
  <c r="H21" i="6"/>
  <c r="I11" i="6"/>
  <c r="H11" i="6"/>
  <c r="I4" i="6"/>
  <c r="H4" i="6"/>
  <c r="E11" i="6"/>
  <c r="G9" i="6"/>
  <c r="E9" i="6"/>
  <c r="I10" i="6"/>
  <c r="H10" i="6"/>
  <c r="E24" i="6"/>
  <c r="G24" i="6"/>
  <c r="E4" i="6"/>
  <c r="I7" i="6"/>
  <c r="H7" i="6"/>
  <c r="G25" i="6"/>
  <c r="E25" i="6"/>
  <c r="I14" i="6"/>
  <c r="H14" i="6"/>
  <c r="H8" i="6"/>
  <c r="I8" i="6"/>
  <c r="I19" i="6"/>
  <c r="H19" i="6"/>
  <c r="I16" i="6"/>
  <c r="H16" i="6"/>
  <c r="I13" i="6"/>
  <c r="H13" i="6"/>
  <c r="E13" i="6"/>
  <c r="E26" i="6"/>
  <c r="G26" i="6"/>
  <c r="E3" i="6"/>
  <c r="G3" i="6"/>
  <c r="I22" i="6"/>
  <c r="H22" i="6"/>
  <c r="E21" i="6"/>
  <c r="E10" i="6"/>
  <c r="E22" i="6"/>
  <c r="G23" i="6"/>
  <c r="E23" i="6"/>
  <c r="I6" i="6"/>
  <c r="H6" i="6"/>
  <c r="I15" i="6"/>
  <c r="H15" i="6"/>
  <c r="I17" i="6"/>
  <c r="H17" i="6"/>
  <c r="I12" i="6"/>
  <c r="H12" i="6"/>
  <c r="I18" i="6"/>
  <c r="H18" i="6"/>
  <c r="I9" i="6" l="1"/>
  <c r="H9" i="6"/>
  <c r="I23" i="6"/>
  <c r="H23" i="6"/>
  <c r="I26" i="6"/>
  <c r="H26" i="6"/>
  <c r="I3" i="6"/>
  <c r="A1" i="4" s="1"/>
  <c r="H3" i="6"/>
  <c r="I25" i="6"/>
  <c r="H25" i="6"/>
  <c r="I24" i="6"/>
  <c r="H24" i="6"/>
  <c r="A1" i="3" l="1"/>
  <c r="C3" i="3" l="1"/>
  <c r="C1" i="3"/>
  <c r="A3" i="3"/>
  <c r="B2" i="3"/>
  <c r="A2" i="3"/>
  <c r="B3" i="3"/>
  <c r="C2" i="3"/>
  <c r="B1" i="3"/>
</calcChain>
</file>

<file path=xl/sharedStrings.xml><?xml version="1.0" encoding="utf-8"?>
<sst xmlns="http://schemas.openxmlformats.org/spreadsheetml/2006/main" count="342" uniqueCount="176">
  <si>
    <t>Rezeptname:</t>
  </si>
  <si>
    <t>Testseife</t>
  </si>
  <si>
    <t>Herstellungsdatum:</t>
  </si>
  <si>
    <t>Herstellungsart:</t>
  </si>
  <si>
    <t>Auswahl Eingabe der Fette in % oder g:</t>
  </si>
  <si>
    <t>Prozent</t>
  </si>
  <si>
    <t>Duftmenge in % zur GFM:</t>
  </si>
  <si>
    <t>%</t>
  </si>
  <si>
    <t>Duftmenge in g:</t>
  </si>
  <si>
    <t>GFM in g:</t>
  </si>
  <si>
    <t>Flüssigkeitsmenge in % auf GFM:</t>
  </si>
  <si>
    <t>Flüssigkeitsmenge in g:</t>
  </si>
  <si>
    <t>g</t>
  </si>
  <si>
    <t>Auswahl Flüssigkeit:</t>
  </si>
  <si>
    <t>Wasser</t>
  </si>
  <si>
    <t>Auswahl Lauge:</t>
  </si>
  <si>
    <t>NaOH</t>
  </si>
  <si>
    <r>
      <t xml:space="preserve">Eingabe Überfettung </t>
    </r>
    <r>
      <rPr>
        <sz val="10"/>
        <color indexed="60"/>
        <rFont val="Arial"/>
        <family val="2"/>
      </rPr>
      <t>(sonst automatisch 7%)</t>
    </r>
  </si>
  <si>
    <r>
      <t xml:space="preserve">Eingabe KOH-Reinheit in % </t>
    </r>
    <r>
      <rPr>
        <sz val="10"/>
        <color indexed="60"/>
        <rFont val="Arial"/>
        <family val="2"/>
      </rPr>
      <t>(sonst 100%)</t>
    </r>
  </si>
  <si>
    <t>Nr.</t>
  </si>
  <si>
    <t>Auswahl Fette per Menü</t>
  </si>
  <si>
    <t>VZ NaOH</t>
  </si>
  <si>
    <t>verwendetet Fette</t>
  </si>
  <si>
    <t>Gramm</t>
  </si>
  <si>
    <t>KOH</t>
  </si>
  <si>
    <t>Härte</t>
  </si>
  <si>
    <t>Reinigung</t>
  </si>
  <si>
    <t>Pflege</t>
  </si>
  <si>
    <t>Schaum</t>
  </si>
  <si>
    <t>Cremigkeit</t>
  </si>
  <si>
    <t>Jod</t>
  </si>
  <si>
    <t>INS</t>
  </si>
  <si>
    <t>Laurinsäure</t>
  </si>
  <si>
    <t>Myristinsäure</t>
  </si>
  <si>
    <t>Palmitinsäure</t>
  </si>
  <si>
    <t>Stearinsäure</t>
  </si>
  <si>
    <t>Ricinsäure</t>
  </si>
  <si>
    <t>Ölsäure</t>
  </si>
  <si>
    <t>Linolsäure</t>
  </si>
  <si>
    <t>Linolensäure</t>
  </si>
  <si>
    <t>Babassu</t>
  </si>
  <si>
    <t>Kokosöl</t>
  </si>
  <si>
    <t>Avocadoöl</t>
  </si>
  <si>
    <t>-</t>
  </si>
  <si>
    <t>Summe:</t>
  </si>
  <si>
    <t>Zusätze</t>
  </si>
  <si>
    <t>29-54</t>
  </si>
  <si>
    <t>12-22</t>
  </si>
  <si>
    <t>44-69</t>
  </si>
  <si>
    <t>14-46</t>
  </si>
  <si>
    <t>16-48</t>
  </si>
  <si>
    <t>41-70</t>
  </si>
  <si>
    <t>136-165</t>
  </si>
  <si>
    <t>Zitronensäure</t>
  </si>
  <si>
    <t>Eigenschaften der Seife (Referenzbereich)</t>
  </si>
  <si>
    <t>Dein Rezept</t>
  </si>
  <si>
    <t>Härte ( 29-54 )</t>
  </si>
  <si>
    <t>Reinigung ( 12-22 )</t>
  </si>
  <si>
    <t>Pflege ( 44-69 )</t>
  </si>
  <si>
    <t>Schaum ( 14-46 )</t>
  </si>
  <si>
    <t>Cremigkeit ( 16-48 )</t>
  </si>
  <si>
    <t>Jod ( 41-70 )</t>
  </si>
  <si>
    <t>INS ( 136-165 )</t>
  </si>
  <si>
    <t>Erklärung zu den Eigenschaften (wie bei der Ampel)</t>
  </si>
  <si>
    <t>im Referenzbereich</t>
  </si>
  <si>
    <t>nah am Referenzbereich (+/- 4)</t>
  </si>
  <si>
    <t>nicht im Referenzbereich</t>
  </si>
  <si>
    <t>Die Nutzung des Seifenrechners erfolgt auf eigene Gefahr.</t>
  </si>
  <si>
    <t>Eingaben sind nur in grünen Feldern möglich.</t>
  </si>
  <si>
    <r>
      <t xml:space="preserve">Fragen, Hinweise und Wünsche bitte per Mail an </t>
    </r>
    <r>
      <rPr>
        <sz val="9"/>
        <color indexed="12"/>
        <rFont val="Arial"/>
        <family val="2"/>
      </rPr>
      <t>info@seifenteufel.de</t>
    </r>
  </si>
  <si>
    <t xml:space="preserve">Falls Du bei bestimmten Ölen andere Verseifungszahlen nehmen willst, </t>
  </si>
  <si>
    <t>kannst Du diese durch Klick auf das rote Register „VZ ändern“ eingeben.</t>
  </si>
  <si>
    <t>hergestellt am:</t>
  </si>
  <si>
    <t>Überfettung in %:</t>
  </si>
  <si>
    <t>Lauge hergestellt mit</t>
  </si>
  <si>
    <t>GFM</t>
  </si>
  <si>
    <t>Gewicht Seifenleim</t>
  </si>
  <si>
    <t>INCI</t>
  </si>
  <si>
    <t>Sodium Hydroxide</t>
  </si>
  <si>
    <t>Duft</t>
  </si>
  <si>
    <t>Fette</t>
  </si>
  <si>
    <t>Eigenschaften</t>
  </si>
  <si>
    <t>Fettsäuren</t>
  </si>
  <si>
    <t>Inhaltsstoff</t>
  </si>
  <si>
    <t>INCI Bezeichnung</t>
  </si>
  <si>
    <t>Reinigu</t>
  </si>
  <si>
    <t>crema</t>
  </si>
  <si>
    <t>Aprikosenkernöl</t>
  </si>
  <si>
    <t>Prunus Armeniaca (Apricot) Kernel Oil</t>
  </si>
  <si>
    <t>Arganöl</t>
  </si>
  <si>
    <t>Argania Spinosa Oil</t>
  </si>
  <si>
    <t>Orbignya Oleifera (Babassu) Seed Oil</t>
  </si>
  <si>
    <t>Bienenwachs</t>
  </si>
  <si>
    <t>Cera Flava</t>
  </si>
  <si>
    <t>Distelöl, HO</t>
  </si>
  <si>
    <t>Carthamus Tinctorius (Safflower) Oil</t>
  </si>
  <si>
    <t>Erdnussöl</t>
  </si>
  <si>
    <t>Arachis Hypogaea Oil</t>
  </si>
  <si>
    <t>Jojobaöl</t>
  </si>
  <si>
    <t>Simmondsia Chinensis (Jojoba) Seed Oil</t>
  </si>
  <si>
    <t>Kakaobutter</t>
  </si>
  <si>
    <t>Theobroma Cacao (Cocoa) Seed Butter</t>
  </si>
  <si>
    <t>Cocos Nucifera (Coconut) Oil</t>
  </si>
  <si>
    <t>Kürbiskernöl</t>
  </si>
  <si>
    <t>Cucurbita pepo</t>
  </si>
  <si>
    <t>Lanolin</t>
  </si>
  <si>
    <t>Adeps lanae anhydricus</t>
  </si>
  <si>
    <t>Lorbeeröl</t>
  </si>
  <si>
    <t>Laurus Nobilis Fruit Oil</t>
  </si>
  <si>
    <t>Macadamianussöl</t>
  </si>
  <si>
    <t>Macadamia Ternifolia Seed Oil</t>
  </si>
  <si>
    <t>Mandelöl, süß</t>
  </si>
  <si>
    <t>Prunus Amygdalus Dulcis (Sweet Almond) Oil</t>
  </si>
  <si>
    <t>Mangobutter</t>
  </si>
  <si>
    <t>Mangifera Indica Seed Butter</t>
  </si>
  <si>
    <t>Myristic Acids</t>
  </si>
  <si>
    <t>Olivenöl</t>
  </si>
  <si>
    <t>Olea Europaea (Olive) Fruit Oil</t>
  </si>
  <si>
    <t>Palmkernöl</t>
  </si>
  <si>
    <t>Sodium Palm Kernelate</t>
  </si>
  <si>
    <t>Palmöl</t>
  </si>
  <si>
    <t>Sodium Palmate</t>
  </si>
  <si>
    <t>Pistazienkernöl</t>
  </si>
  <si>
    <t>Pistacia vera</t>
  </si>
  <si>
    <t>Rapsöl</t>
  </si>
  <si>
    <t>Canola Oil</t>
  </si>
  <si>
    <t>Rapsöl, HO</t>
  </si>
  <si>
    <t>Rapsöl, ölsäurereich</t>
  </si>
  <si>
    <t>Reiskeimöl</t>
  </si>
  <si>
    <t>Oryza sativa (Rice Germ) Oil</t>
  </si>
  <si>
    <t>Rizinusöl</t>
  </si>
  <si>
    <t>Ricinus Communis Seed Oil</t>
  </si>
  <si>
    <t>Schwarzkümmelöl</t>
  </si>
  <si>
    <t>Nigella Sativa (Black Cumin) Seed Oil</t>
  </si>
  <si>
    <t>Schweineschmalz</t>
  </si>
  <si>
    <t>Adeps suillus</t>
  </si>
  <si>
    <t>Sesamöl</t>
  </si>
  <si>
    <t>Sesamum Indicum Oil</t>
  </si>
  <si>
    <t>Sheabutter</t>
  </si>
  <si>
    <t>Butyrospermum Parkii (Shea) Butter</t>
  </si>
  <si>
    <t>Sojaöl</t>
  </si>
  <si>
    <t>Glycine Soja (Soybean) Oil</t>
  </si>
  <si>
    <t>Sonnenblumenöl</t>
  </si>
  <si>
    <t>Helianthus annus</t>
  </si>
  <si>
    <t>Sonnenblumenöl, HO</t>
  </si>
  <si>
    <t>Helianthus annus, high olic</t>
  </si>
  <si>
    <t>Sonnenblumenöl, ölsäurereich</t>
  </si>
  <si>
    <t>Stearic Acid</t>
  </si>
  <si>
    <t>Straußenfett</t>
  </si>
  <si>
    <t>Ostrich Oil</t>
  </si>
  <si>
    <t>Traubenkernöl</t>
  </si>
  <si>
    <t>Vitis Vinifera (Grape) Seed Oil</t>
  </si>
  <si>
    <t>Walnussöl</t>
  </si>
  <si>
    <t>Juglans Regia (Walnut) Oil</t>
  </si>
  <si>
    <t>NaOH / KOH</t>
  </si>
  <si>
    <t>Hilfstabelle Sortierung Etiketten</t>
  </si>
  <si>
    <t>Muss noch manuell sortiert werden</t>
  </si>
  <si>
    <t>Hilfsspalte</t>
  </si>
  <si>
    <t>Liste absteigend sortiert</t>
  </si>
  <si>
    <t>Lauriinsäure</t>
  </si>
  <si>
    <t>Ricinolsäure</t>
  </si>
  <si>
    <t xml:space="preserve">Linolsäure </t>
  </si>
  <si>
    <t>Distelöl ölsäurereich</t>
  </si>
  <si>
    <t>Distelöl HO</t>
  </si>
  <si>
    <t>Canola Oil (high olic)</t>
  </si>
  <si>
    <t>Sonnenblumenöl HO</t>
  </si>
  <si>
    <t>Inhaltsstoffe</t>
  </si>
  <si>
    <t xml:space="preserve">Das Öl Nr. 10 kannst Du manuell eingeben und auch die </t>
  </si>
  <si>
    <t>Verseifungszahl rechts daneben. Dieses Öl wird dann allerdings</t>
  </si>
  <si>
    <t>bei Eigenschaften und Fettsäuren berücksichtigt.</t>
  </si>
  <si>
    <t>Weizenkeimöl</t>
  </si>
  <si>
    <t>NaOH/KOH</t>
  </si>
  <si>
    <t>Persea Gratissima (Avocado) Oil</t>
  </si>
  <si>
    <t>Notizen</t>
  </si>
  <si>
    <t>OHP</t>
  </si>
  <si>
    <t xml:space="preserve">  Foto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</si>
</sst>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"/>
    <numFmt numFmtId="165" formatCode="&quot;WAHR&quot;;&quot;WAHR&quot;;&quot;FALSCH&quot;"/>
  </numFmts>
  <fonts count="28" x14ac:knownFonts="1">
    <font>
      <sz val="10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b/>
      <sz val="12"/>
      <color indexed="9"/>
      <name val="Arial"/>
      <family val="2"/>
    </font>
    <font>
      <b/>
      <sz val="12"/>
      <name val="Arial"/>
      <family val="2"/>
    </font>
    <font>
      <sz val="12"/>
      <color indexed="60"/>
      <name val="Arial"/>
      <family val="2"/>
    </font>
    <font>
      <sz val="12"/>
      <color indexed="8"/>
      <name val="Arial"/>
      <family val="2"/>
    </font>
    <font>
      <sz val="10"/>
      <color indexed="8"/>
      <name val="Arial"/>
      <family val="2"/>
    </font>
    <font>
      <sz val="10"/>
      <color indexed="60"/>
      <name val="Arial"/>
      <family val="2"/>
    </font>
    <font>
      <sz val="10"/>
      <color indexed="9"/>
      <name val="Arial"/>
      <family val="2"/>
    </font>
    <font>
      <b/>
      <sz val="12"/>
      <color indexed="8"/>
      <name val="Arial"/>
      <family val="2"/>
    </font>
    <font>
      <b/>
      <sz val="10"/>
      <color indexed="8"/>
      <name val="Arial"/>
      <family val="2"/>
    </font>
    <font>
      <sz val="14"/>
      <color indexed="10"/>
      <name val="Arial"/>
      <family val="2"/>
    </font>
    <font>
      <sz val="10"/>
      <color indexed="16"/>
      <name val="Arial"/>
      <family val="2"/>
    </font>
    <font>
      <sz val="9"/>
      <name val="Arial"/>
      <family val="2"/>
    </font>
    <font>
      <sz val="9"/>
      <color indexed="12"/>
      <name val="Arial"/>
      <family val="2"/>
    </font>
    <font>
      <sz val="15"/>
      <name val="Arial"/>
      <family val="2"/>
    </font>
    <font>
      <sz val="6"/>
      <name val="Arial"/>
      <family val="2"/>
    </font>
    <font>
      <sz val="10"/>
      <color indexed="58"/>
      <name val="Arial"/>
      <family val="2"/>
    </font>
    <font>
      <sz val="10"/>
      <name val="Arial"/>
      <family val="2"/>
    </font>
    <font>
      <sz val="10"/>
      <color theme="0"/>
      <name val="Arial"/>
      <family val="2"/>
    </font>
    <font>
      <sz val="9"/>
      <color theme="0"/>
      <name val="Arial"/>
      <family val="2"/>
    </font>
    <font>
      <b/>
      <sz val="10"/>
      <color theme="0"/>
      <name val="Arial"/>
      <family val="2"/>
    </font>
    <font>
      <b/>
      <sz val="12"/>
      <color theme="1"/>
      <name val="Arial"/>
      <family val="2"/>
    </font>
    <font>
      <sz val="9"/>
      <color indexed="8"/>
      <name val="Arial"/>
      <family val="2"/>
    </font>
    <font>
      <b/>
      <sz val="9"/>
      <name val="Arial"/>
      <family val="2"/>
    </font>
    <font>
      <sz val="12"/>
      <color theme="0"/>
      <name val="Arial"/>
      <family val="2"/>
    </font>
  </fonts>
  <fills count="23">
    <fill>
      <patternFill patternType="none"/>
    </fill>
    <fill>
      <patternFill patternType="gray125"/>
    </fill>
    <fill>
      <patternFill patternType="solid">
        <fgColor indexed="11"/>
        <bgColor indexed="49"/>
      </patternFill>
    </fill>
    <fill>
      <patternFill patternType="solid">
        <fgColor indexed="10"/>
        <bgColor indexed="60"/>
      </patternFill>
    </fill>
    <fill>
      <patternFill patternType="solid">
        <fgColor indexed="40"/>
        <bgColor indexed="30"/>
      </patternFill>
    </fill>
    <fill>
      <patternFill patternType="solid">
        <fgColor indexed="13"/>
        <bgColor indexed="43"/>
      </patternFill>
    </fill>
    <fill>
      <patternFill patternType="solid">
        <fgColor indexed="50"/>
        <bgColor indexed="55"/>
      </patternFill>
    </fill>
    <fill>
      <patternFill patternType="solid">
        <fgColor indexed="27"/>
        <bgColor indexed="26"/>
      </patternFill>
    </fill>
    <fill>
      <patternFill patternType="solid">
        <fgColor indexed="9"/>
        <bgColor indexed="26"/>
      </patternFill>
    </fill>
    <fill>
      <patternFill patternType="solid">
        <fgColor indexed="51"/>
        <bgColor indexed="34"/>
      </patternFill>
    </fill>
    <fill>
      <patternFill patternType="solid">
        <fgColor indexed="26"/>
        <bgColor indexed="41"/>
      </patternFill>
    </fill>
    <fill>
      <patternFill patternType="solid">
        <fgColor indexed="41"/>
        <bgColor indexed="26"/>
      </patternFill>
    </fill>
    <fill>
      <patternFill patternType="solid">
        <fgColor indexed="42"/>
        <bgColor indexed="41"/>
      </patternFill>
    </fill>
    <fill>
      <patternFill patternType="solid">
        <fgColor indexed="55"/>
        <bgColor indexed="22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55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26"/>
      </patternFill>
    </fill>
    <fill>
      <patternFill patternType="solid">
        <fgColor rgb="FFFF0000"/>
        <bgColor indexed="45"/>
      </patternFill>
    </fill>
    <fill>
      <patternFill patternType="solid">
        <fgColor rgb="FFFF3300"/>
        <bgColor indexed="53"/>
      </patternFill>
    </fill>
    <fill>
      <patternFill patternType="solid">
        <fgColor theme="6" tint="0.79998168889431442"/>
        <bgColor indexed="41"/>
      </patternFill>
    </fill>
    <fill>
      <patternFill patternType="solid">
        <fgColor theme="6" tint="0.79998168889431442"/>
        <bgColor indexed="64"/>
      </patternFill>
    </fill>
  </fills>
  <borders count="77">
    <border>
      <left/>
      <right/>
      <top/>
      <bottom/>
      <diagonal/>
    </border>
    <border>
      <left style="double">
        <color indexed="8"/>
      </left>
      <right/>
      <top style="double">
        <color indexed="8"/>
      </top>
      <bottom style="double">
        <color indexed="8"/>
      </bottom>
      <diagonal/>
    </border>
    <border>
      <left/>
      <right/>
      <top style="double">
        <color indexed="8"/>
      </top>
      <bottom style="double">
        <color indexed="8"/>
      </bottom>
      <diagonal/>
    </border>
    <border>
      <left/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double">
        <color indexed="8"/>
      </left>
      <right/>
      <top/>
      <bottom/>
      <diagonal/>
    </border>
    <border>
      <left style="double">
        <color indexed="8"/>
      </left>
      <right style="double">
        <color indexed="8"/>
      </right>
      <top style="double">
        <color indexed="8"/>
      </top>
      <bottom/>
      <diagonal/>
    </border>
    <border>
      <left/>
      <right style="double">
        <color indexed="8"/>
      </right>
      <top/>
      <bottom/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double">
        <color indexed="8"/>
      </left>
      <right style="double">
        <color indexed="8"/>
      </right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/>
      <top style="hair">
        <color indexed="8"/>
      </top>
      <bottom/>
      <diagonal/>
    </border>
    <border>
      <left style="double">
        <color indexed="8"/>
      </left>
      <right style="double">
        <color indexed="8"/>
      </right>
      <top/>
      <bottom/>
      <diagonal/>
    </border>
    <border>
      <left/>
      <right/>
      <top/>
      <bottom style="hair">
        <color indexed="8"/>
      </bottom>
      <diagonal/>
    </border>
    <border>
      <left style="double">
        <color indexed="8"/>
      </left>
      <right/>
      <top/>
      <bottom style="double">
        <color indexed="8"/>
      </bottom>
      <diagonal/>
    </border>
    <border>
      <left/>
      <right/>
      <top/>
      <bottom style="double">
        <color indexed="8"/>
      </bottom>
      <diagonal/>
    </border>
    <border>
      <left/>
      <right style="double">
        <color indexed="8"/>
      </right>
      <top/>
      <bottom style="double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double">
        <color indexed="8"/>
      </left>
      <right/>
      <top style="double">
        <color indexed="8"/>
      </top>
      <bottom/>
      <diagonal/>
    </border>
    <border>
      <left/>
      <right/>
      <top style="double">
        <color indexed="8"/>
      </top>
      <bottom/>
      <diagonal/>
    </border>
    <border>
      <left/>
      <right style="double">
        <color indexed="8"/>
      </right>
      <top style="double">
        <color indexed="8"/>
      </top>
      <bottom/>
      <diagonal/>
    </border>
    <border>
      <left style="hair">
        <color indexed="8"/>
      </left>
      <right/>
      <top/>
      <bottom style="thin">
        <color indexed="8"/>
      </bottom>
      <diagonal/>
    </border>
    <border>
      <left/>
      <right style="hair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8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hair">
        <color indexed="8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hair">
        <color indexed="8"/>
      </top>
      <bottom style="medium">
        <color indexed="64"/>
      </bottom>
      <diagonal/>
    </border>
    <border>
      <left/>
      <right style="medium">
        <color indexed="64"/>
      </right>
      <top style="hair">
        <color indexed="8"/>
      </top>
      <bottom style="medium">
        <color indexed="64"/>
      </bottom>
      <diagonal/>
    </border>
    <border>
      <left style="double">
        <color indexed="8"/>
      </left>
      <right style="double">
        <color indexed="8"/>
      </right>
      <top style="thin">
        <color indexed="64"/>
      </top>
      <bottom style="double">
        <color indexed="8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8"/>
      </bottom>
      <diagonal/>
    </border>
    <border>
      <left/>
      <right/>
      <top style="medium">
        <color indexed="64"/>
      </top>
      <bottom style="double">
        <color indexed="8"/>
      </bottom>
      <diagonal/>
    </border>
    <border>
      <left/>
      <right style="double">
        <color indexed="8"/>
      </right>
      <top style="medium">
        <color indexed="64"/>
      </top>
      <bottom style="double">
        <color indexed="8"/>
      </bottom>
      <diagonal/>
    </border>
    <border>
      <left/>
      <right style="medium">
        <color indexed="64"/>
      </right>
      <top style="medium">
        <color indexed="64"/>
      </top>
      <bottom style="double">
        <color indexed="8"/>
      </bottom>
      <diagonal/>
    </border>
    <border>
      <left style="double">
        <color indexed="8"/>
      </left>
      <right style="medium">
        <color indexed="64"/>
      </right>
      <top style="double">
        <color indexed="8"/>
      </top>
      <bottom style="double">
        <color indexed="8"/>
      </bottom>
      <diagonal/>
    </border>
    <border>
      <left/>
      <right style="medium">
        <color indexed="64"/>
      </right>
      <top style="double">
        <color indexed="8"/>
      </top>
      <bottom style="double">
        <color indexed="8"/>
      </bottom>
      <diagonal/>
    </border>
    <border>
      <left style="medium">
        <color indexed="64"/>
      </left>
      <right/>
      <top style="double">
        <color indexed="8"/>
      </top>
      <bottom style="double">
        <color indexed="8"/>
      </bottom>
      <diagonal/>
    </border>
    <border>
      <left/>
      <right style="medium">
        <color indexed="64"/>
      </right>
      <top/>
      <bottom style="double">
        <color indexed="8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medium">
        <color indexed="64"/>
      </bottom>
      <diagonal/>
    </border>
    <border>
      <left/>
      <right/>
      <top style="double">
        <color indexed="8"/>
      </top>
      <bottom style="medium">
        <color indexed="64"/>
      </bottom>
      <diagonal/>
    </border>
    <border>
      <left/>
      <right style="medium">
        <color indexed="64"/>
      </right>
      <top style="double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</cellStyleXfs>
  <cellXfs count="217">
    <xf numFmtId="0" fontId="0" fillId="0" borderId="0" xfId="0"/>
    <xf numFmtId="0" fontId="0" fillId="0" borderId="0" xfId="0" applyProtection="1">
      <protection hidden="1"/>
    </xf>
    <xf numFmtId="0" fontId="0" fillId="0" borderId="0" xfId="0" applyBorder="1" applyProtection="1">
      <protection hidden="1"/>
    </xf>
    <xf numFmtId="0" fontId="2" fillId="0" borderId="4" xfId="0" applyFont="1" applyBorder="1" applyProtection="1">
      <protection hidden="1"/>
    </xf>
    <xf numFmtId="0" fontId="2" fillId="0" borderId="0" xfId="0" applyFont="1" applyBorder="1" applyProtection="1">
      <protection hidden="1"/>
    </xf>
    <xf numFmtId="0" fontId="3" fillId="0" borderId="0" xfId="0" applyFont="1" applyBorder="1" applyProtection="1">
      <protection hidden="1"/>
    </xf>
    <xf numFmtId="0" fontId="2" fillId="0" borderId="2" xfId="0" applyFont="1" applyBorder="1" applyProtection="1">
      <protection hidden="1"/>
    </xf>
    <xf numFmtId="0" fontId="3" fillId="6" borderId="3" xfId="0" applyFont="1" applyFill="1" applyBorder="1" applyProtection="1">
      <protection hidden="1"/>
    </xf>
    <xf numFmtId="0" fontId="5" fillId="0" borderId="1" xfId="0" applyFont="1" applyBorder="1" applyProtection="1">
      <protection hidden="1"/>
    </xf>
    <xf numFmtId="165" fontId="6" fillId="0" borderId="0" xfId="0" applyNumberFormat="1" applyFont="1" applyBorder="1" applyProtection="1">
      <protection hidden="1"/>
    </xf>
    <xf numFmtId="0" fontId="5" fillId="0" borderId="0" xfId="0" applyFont="1" applyBorder="1" applyProtection="1">
      <protection hidden="1"/>
    </xf>
    <xf numFmtId="0" fontId="5" fillId="7" borderId="7" xfId="0" applyFont="1" applyFill="1" applyBorder="1" applyProtection="1">
      <protection hidden="1"/>
    </xf>
    <xf numFmtId="0" fontId="3" fillId="7" borderId="3" xfId="0" applyFont="1" applyFill="1" applyBorder="1" applyProtection="1">
      <protection hidden="1"/>
    </xf>
    <xf numFmtId="0" fontId="7" fillId="0" borderId="0" xfId="0" applyFont="1" applyBorder="1" applyProtection="1">
      <protection hidden="1"/>
    </xf>
    <xf numFmtId="0" fontId="3" fillId="6" borderId="0" xfId="0" applyFont="1" applyFill="1" applyBorder="1" applyProtection="1">
      <protection hidden="1"/>
    </xf>
    <xf numFmtId="0" fontId="8" fillId="0" borderId="0" xfId="0" applyFont="1" applyBorder="1" applyProtection="1">
      <protection hidden="1"/>
    </xf>
    <xf numFmtId="0" fontId="8" fillId="0" borderId="0" xfId="0" applyFont="1" applyProtection="1">
      <protection hidden="1"/>
    </xf>
    <xf numFmtId="0" fontId="10" fillId="0" borderId="0" xfId="0" applyFont="1" applyBorder="1" applyProtection="1">
      <protection hidden="1"/>
    </xf>
    <xf numFmtId="0" fontId="10" fillId="0" borderId="0" xfId="0" applyFont="1" applyProtection="1">
      <protection hidden="1"/>
    </xf>
    <xf numFmtId="0" fontId="8" fillId="8" borderId="0" xfId="0" applyFont="1" applyFill="1" applyBorder="1" applyProtection="1">
      <protection hidden="1"/>
    </xf>
    <xf numFmtId="165" fontId="11" fillId="0" borderId="0" xfId="0" applyNumberFormat="1" applyFont="1" applyBorder="1" applyProtection="1">
      <protection hidden="1"/>
    </xf>
    <xf numFmtId="0" fontId="5" fillId="0" borderId="7" xfId="0" applyFont="1" applyBorder="1" applyProtection="1">
      <protection hidden="1"/>
    </xf>
    <xf numFmtId="0" fontId="12" fillId="8" borderId="0" xfId="0" applyFont="1" applyFill="1" applyBorder="1" applyAlignment="1" applyProtection="1">
      <alignment horizontal="center"/>
      <protection hidden="1"/>
    </xf>
    <xf numFmtId="0" fontId="5" fillId="0" borderId="2" xfId="0" applyFont="1" applyBorder="1" applyProtection="1">
      <protection hidden="1"/>
    </xf>
    <xf numFmtId="0" fontId="3" fillId="0" borderId="2" xfId="0" applyFont="1" applyBorder="1" applyProtection="1">
      <protection hidden="1"/>
    </xf>
    <xf numFmtId="0" fontId="8" fillId="8" borderId="0" xfId="0" applyFont="1" applyFill="1" applyBorder="1" applyAlignment="1" applyProtection="1">
      <alignment horizontal="center"/>
      <protection hidden="1"/>
    </xf>
    <xf numFmtId="0" fontId="2" fillId="7" borderId="4" xfId="0" applyFont="1" applyFill="1" applyBorder="1" applyProtection="1">
      <protection hidden="1"/>
    </xf>
    <xf numFmtId="0" fontId="2" fillId="6" borderId="0" xfId="0" applyFont="1" applyFill="1" applyBorder="1" applyProtection="1">
      <protection hidden="1"/>
    </xf>
    <xf numFmtId="4" fontId="2" fillId="7" borderId="0" xfId="0" applyNumberFormat="1" applyFont="1" applyFill="1" applyBorder="1" applyProtection="1">
      <protection hidden="1"/>
    </xf>
    <xf numFmtId="0" fontId="2" fillId="7" borderId="0" xfId="0" applyFont="1" applyFill="1" applyBorder="1" applyProtection="1">
      <protection hidden="1"/>
    </xf>
    <xf numFmtId="2" fontId="2" fillId="9" borderId="0" xfId="0" applyNumberFormat="1" applyFont="1" applyFill="1" applyBorder="1" applyProtection="1">
      <protection hidden="1"/>
    </xf>
    <xf numFmtId="0" fontId="2" fillId="7" borderId="1" xfId="0" applyFont="1" applyFill="1" applyBorder="1" applyProtection="1">
      <protection hidden="1"/>
    </xf>
    <xf numFmtId="0" fontId="2" fillId="6" borderId="2" xfId="0" applyFont="1" applyFill="1" applyBorder="1" applyProtection="1">
      <protection hidden="1"/>
    </xf>
    <xf numFmtId="4" fontId="2" fillId="7" borderId="2" xfId="0" applyNumberFormat="1" applyFont="1" applyFill="1" applyBorder="1" applyProtection="1">
      <protection hidden="1"/>
    </xf>
    <xf numFmtId="0" fontId="2" fillId="7" borderId="2" xfId="0" applyFont="1" applyFill="1" applyBorder="1" applyProtection="1">
      <protection hidden="1"/>
    </xf>
    <xf numFmtId="2" fontId="2" fillId="9" borderId="2" xfId="0" applyNumberFormat="1" applyFont="1" applyFill="1" applyBorder="1" applyProtection="1">
      <protection hidden="1"/>
    </xf>
    <xf numFmtId="0" fontId="2" fillId="9" borderId="13" xfId="0" applyFont="1" applyFill="1" applyBorder="1" applyProtection="1">
      <protection hidden="1"/>
    </xf>
    <xf numFmtId="0" fontId="5" fillId="9" borderId="14" xfId="0" applyFont="1" applyFill="1" applyBorder="1" applyProtection="1">
      <protection hidden="1"/>
    </xf>
    <xf numFmtId="0" fontId="2" fillId="9" borderId="14" xfId="0" applyFont="1" applyFill="1" applyBorder="1" applyProtection="1">
      <protection hidden="1"/>
    </xf>
    <xf numFmtId="4" fontId="2" fillId="9" borderId="14" xfId="0" applyNumberFormat="1" applyFont="1" applyFill="1" applyBorder="1" applyProtection="1">
      <protection hidden="1"/>
    </xf>
    <xf numFmtId="0" fontId="13" fillId="0" borderId="0" xfId="0" applyFont="1" applyBorder="1" applyProtection="1">
      <protection hidden="1"/>
    </xf>
    <xf numFmtId="0" fontId="14" fillId="0" borderId="0" xfId="0" applyFont="1" applyBorder="1" applyProtection="1">
      <protection hidden="1"/>
    </xf>
    <xf numFmtId="0" fontId="0" fillId="0" borderId="18" xfId="0" applyBorder="1" applyProtection="1">
      <protection hidden="1"/>
    </xf>
    <xf numFmtId="0" fontId="0" fillId="0" borderId="19" xfId="0" applyBorder="1" applyProtection="1">
      <protection hidden="1"/>
    </xf>
    <xf numFmtId="0" fontId="0" fillId="0" borderId="20" xfId="0" applyFont="1" applyBorder="1" applyProtection="1">
      <protection hidden="1"/>
    </xf>
    <xf numFmtId="0" fontId="0" fillId="0" borderId="4" xfId="0" applyFont="1" applyBorder="1" applyProtection="1">
      <protection hidden="1"/>
    </xf>
    <xf numFmtId="0" fontId="0" fillId="0" borderId="13" xfId="0" applyFont="1" applyBorder="1" applyProtection="1">
      <protection hidden="1"/>
    </xf>
    <xf numFmtId="0" fontId="5" fillId="0" borderId="0" xfId="0" applyFont="1" applyProtection="1">
      <protection hidden="1"/>
    </xf>
    <xf numFmtId="0" fontId="0" fillId="0" borderId="0" xfId="0" applyFont="1" applyProtection="1">
      <protection hidden="1"/>
    </xf>
    <xf numFmtId="0" fontId="15" fillId="0" borderId="9" xfId="0" applyFont="1" applyBorder="1" applyProtection="1">
      <protection hidden="1"/>
    </xf>
    <xf numFmtId="1" fontId="15" fillId="0" borderId="27" xfId="0" applyNumberFormat="1" applyFont="1" applyBorder="1" applyAlignment="1" applyProtection="1">
      <alignment horizontal="left"/>
      <protection hidden="1"/>
    </xf>
    <xf numFmtId="3" fontId="15" fillId="0" borderId="9" xfId="0" applyNumberFormat="1" applyFont="1" applyBorder="1" applyProtection="1">
      <protection hidden="1"/>
    </xf>
    <xf numFmtId="0" fontId="3" fillId="0" borderId="0" xfId="0" applyFont="1"/>
    <xf numFmtId="0" fontId="18" fillId="0" borderId="0" xfId="0" applyFont="1"/>
    <xf numFmtId="0" fontId="3" fillId="0" borderId="0" xfId="0" applyFont="1" applyProtection="1">
      <protection locked="0"/>
    </xf>
    <xf numFmtId="0" fontId="0" fillId="0" borderId="0" xfId="0" applyProtection="1">
      <protection locked="0"/>
    </xf>
    <xf numFmtId="0" fontId="2" fillId="0" borderId="0" xfId="0" applyFont="1"/>
    <xf numFmtId="0" fontId="0" fillId="0" borderId="0" xfId="0" applyFont="1" applyAlignment="1">
      <alignment horizontal="justify"/>
    </xf>
    <xf numFmtId="0" fontId="3" fillId="13" borderId="0" xfId="0" applyFont="1" applyFill="1" applyProtection="1">
      <protection locked="0"/>
    </xf>
    <xf numFmtId="0" fontId="12" fillId="13" borderId="0" xfId="0" applyFont="1" applyFill="1" applyProtection="1">
      <protection locked="0"/>
    </xf>
    <xf numFmtId="0" fontId="0" fillId="13" borderId="0" xfId="0" applyFill="1" applyProtection="1">
      <protection locked="0"/>
    </xf>
    <xf numFmtId="0" fontId="8" fillId="0" borderId="0" xfId="0" applyFont="1"/>
    <xf numFmtId="0" fontId="0" fillId="0" borderId="0" xfId="0" applyFont="1"/>
    <xf numFmtId="0" fontId="19" fillId="0" borderId="0" xfId="0" applyFont="1"/>
    <xf numFmtId="0" fontId="2" fillId="0" borderId="12" xfId="0" applyFont="1" applyBorder="1"/>
    <xf numFmtId="0" fontId="0" fillId="0" borderId="12" xfId="0" applyFont="1" applyBorder="1" applyAlignment="1">
      <alignment horizontal="justify"/>
    </xf>
    <xf numFmtId="0" fontId="0" fillId="13" borderId="12" xfId="0" applyFont="1" applyFill="1" applyBorder="1" applyProtection="1">
      <protection locked="0"/>
    </xf>
    <xf numFmtId="0" fontId="0" fillId="0" borderId="12" xfId="0" applyFont="1" applyBorder="1"/>
    <xf numFmtId="0" fontId="0" fillId="0" borderId="0" xfId="0" applyFont="1" applyFill="1" applyBorder="1"/>
    <xf numFmtId="0" fontId="0" fillId="0" borderId="12" xfId="0" applyFont="1" applyBorder="1" applyProtection="1">
      <protection locked="0"/>
    </xf>
    <xf numFmtId="4" fontId="0" fillId="0" borderId="10" xfId="0" applyNumberFormat="1" applyBorder="1" applyProtection="1">
      <protection hidden="1"/>
    </xf>
    <xf numFmtId="0" fontId="0" fillId="0" borderId="29" xfId="0" applyBorder="1" applyProtection="1">
      <protection hidden="1"/>
    </xf>
    <xf numFmtId="4" fontId="0" fillId="0" borderId="0" xfId="0" applyNumberFormat="1" applyProtection="1">
      <protection hidden="1"/>
    </xf>
    <xf numFmtId="4" fontId="0" fillId="0" borderId="0" xfId="0" applyNumberFormat="1" applyFont="1" applyProtection="1">
      <protection hidden="1"/>
    </xf>
    <xf numFmtId="0" fontId="0" fillId="0" borderId="28" xfId="0" applyBorder="1" applyProtection="1">
      <protection hidden="1"/>
    </xf>
    <xf numFmtId="0" fontId="5" fillId="0" borderId="0" xfId="0" applyFont="1"/>
    <xf numFmtId="0" fontId="5" fillId="14" borderId="3" xfId="0" applyFont="1" applyFill="1" applyBorder="1" applyProtection="1">
      <protection hidden="1"/>
    </xf>
    <xf numFmtId="3" fontId="0" fillId="15" borderId="22" xfId="0" applyNumberFormat="1" applyFill="1" applyBorder="1" applyProtection="1">
      <protection hidden="1"/>
    </xf>
    <xf numFmtId="3" fontId="0" fillId="15" borderId="6" xfId="0" applyNumberFormat="1" applyFill="1" applyBorder="1" applyProtection="1">
      <protection hidden="1"/>
    </xf>
    <xf numFmtId="3" fontId="0" fillId="15" borderId="15" xfId="0" applyNumberFormat="1" applyFill="1" applyBorder="1" applyProtection="1">
      <protection hidden="1"/>
    </xf>
    <xf numFmtId="164" fontId="3" fillId="16" borderId="5" xfId="0" applyNumberFormat="1" applyFont="1" applyFill="1" applyBorder="1" applyAlignment="1" applyProtection="1">
      <alignment horizontal="center"/>
      <protection locked="0"/>
    </xf>
    <xf numFmtId="0" fontId="4" fillId="16" borderId="7" xfId="0" applyFont="1" applyFill="1" applyBorder="1" applyAlignment="1" applyProtection="1">
      <alignment horizontal="center"/>
      <protection locked="0"/>
    </xf>
    <xf numFmtId="0" fontId="5" fillId="16" borderId="7" xfId="0" applyFont="1" applyFill="1" applyBorder="1" applyAlignment="1" applyProtection="1">
      <alignment horizontal="center"/>
      <protection locked="0"/>
    </xf>
    <xf numFmtId="0" fontId="4" fillId="16" borderId="0" xfId="0" applyFont="1" applyFill="1" applyBorder="1" applyProtection="1">
      <protection locked="0"/>
    </xf>
    <xf numFmtId="0" fontId="5" fillId="16" borderId="7" xfId="0" applyFont="1" applyFill="1" applyBorder="1" applyProtection="1">
      <protection locked="0"/>
    </xf>
    <xf numFmtId="0" fontId="5" fillId="16" borderId="8" xfId="0" applyFont="1" applyFill="1" applyBorder="1" applyProtection="1">
      <protection locked="0"/>
    </xf>
    <xf numFmtId="0" fontId="2" fillId="16" borderId="5" xfId="0" applyFont="1" applyFill="1" applyBorder="1" applyProtection="1">
      <protection locked="0"/>
    </xf>
    <xf numFmtId="0" fontId="2" fillId="16" borderId="7" xfId="0" applyFont="1" applyFill="1" applyBorder="1" applyProtection="1">
      <protection locked="0"/>
    </xf>
    <xf numFmtId="0" fontId="2" fillId="16" borderId="11" xfId="0" applyFont="1" applyFill="1" applyBorder="1" applyProtection="1">
      <protection locked="0"/>
    </xf>
    <xf numFmtId="0" fontId="4" fillId="16" borderId="11" xfId="0" applyFont="1" applyFill="1" applyBorder="1" applyProtection="1">
      <protection locked="0"/>
    </xf>
    <xf numFmtId="0" fontId="5" fillId="0" borderId="1" xfId="0" applyFont="1" applyBorder="1" applyProtection="1">
      <protection hidden="1"/>
    </xf>
    <xf numFmtId="0" fontId="2" fillId="0" borderId="1" xfId="0" applyFont="1" applyBorder="1" applyProtection="1">
      <protection hidden="1"/>
    </xf>
    <xf numFmtId="0" fontId="0" fillId="0" borderId="0" xfId="0" applyNumberFormat="1" applyAlignment="1" applyProtection="1">
      <alignment horizontal="left" vertical="top" wrapText="1"/>
      <protection locked="0"/>
    </xf>
    <xf numFmtId="0" fontId="0" fillId="0" borderId="0" xfId="0" applyAlignment="1" applyProtection="1">
      <alignment horizontal="left" vertical="top" wrapText="1"/>
      <protection locked="0"/>
    </xf>
    <xf numFmtId="0" fontId="15" fillId="0" borderId="34" xfId="0" applyFont="1" applyBorder="1" applyProtection="1">
      <protection hidden="1"/>
    </xf>
    <xf numFmtId="0" fontId="15" fillId="0" borderId="36" xfId="0" applyFont="1" applyBorder="1" applyProtection="1">
      <protection hidden="1"/>
    </xf>
    <xf numFmtId="0" fontId="0" fillId="10" borderId="37" xfId="0" applyFill="1" applyBorder="1" applyProtection="1">
      <protection hidden="1"/>
    </xf>
    <xf numFmtId="0" fontId="1" fillId="10" borderId="38" xfId="0" applyFont="1" applyFill="1" applyBorder="1" applyProtection="1">
      <protection hidden="1"/>
    </xf>
    <xf numFmtId="0" fontId="1" fillId="10" borderId="38" xfId="0" applyFont="1" applyFill="1" applyBorder="1" applyAlignment="1" applyProtection="1">
      <alignment horizontal="left"/>
      <protection hidden="1"/>
    </xf>
    <xf numFmtId="0" fontId="0" fillId="10" borderId="39" xfId="0" applyFill="1" applyBorder="1" applyProtection="1">
      <protection hidden="1"/>
    </xf>
    <xf numFmtId="0" fontId="15" fillId="19" borderId="37" xfId="0" applyFont="1" applyFill="1" applyBorder="1" applyProtection="1">
      <protection hidden="1"/>
    </xf>
    <xf numFmtId="0" fontId="15" fillId="19" borderId="39" xfId="0" applyFont="1" applyFill="1" applyBorder="1" applyProtection="1">
      <protection hidden="1"/>
    </xf>
    <xf numFmtId="0" fontId="15" fillId="19" borderId="51" xfId="0" applyFont="1" applyFill="1" applyBorder="1" applyProtection="1">
      <protection hidden="1"/>
    </xf>
    <xf numFmtId="0" fontId="15" fillId="19" borderId="52" xfId="0" applyFont="1" applyFill="1" applyBorder="1" applyProtection="1">
      <protection hidden="1"/>
    </xf>
    <xf numFmtId="0" fontId="15" fillId="17" borderId="51" xfId="0" applyFont="1" applyFill="1" applyBorder="1" applyProtection="1">
      <protection hidden="1"/>
    </xf>
    <xf numFmtId="0" fontId="0" fillId="17" borderId="52" xfId="0" applyFill="1" applyBorder="1" applyProtection="1">
      <protection hidden="1"/>
    </xf>
    <xf numFmtId="0" fontId="15" fillId="17" borderId="53" xfId="0" applyFont="1" applyFill="1" applyBorder="1" applyProtection="1">
      <protection hidden="1"/>
    </xf>
    <xf numFmtId="0" fontId="0" fillId="17" borderId="54" xfId="0" applyFill="1" applyBorder="1" applyProtection="1">
      <protection hidden="1"/>
    </xf>
    <xf numFmtId="0" fontId="8" fillId="18" borderId="0" xfId="0" applyFont="1" applyFill="1" applyBorder="1" applyAlignment="1" applyProtection="1">
      <alignment horizontal="center"/>
      <protection locked="0"/>
    </xf>
    <xf numFmtId="164" fontId="7" fillId="0" borderId="16" xfId="0" applyNumberFormat="1" applyFont="1" applyFill="1" applyBorder="1" applyProtection="1">
      <protection hidden="1"/>
    </xf>
    <xf numFmtId="0" fontId="21" fillId="0" borderId="0" xfId="0" applyFont="1" applyBorder="1" applyProtection="1">
      <protection hidden="1"/>
    </xf>
    <xf numFmtId="0" fontId="21" fillId="0" borderId="0" xfId="0" applyFont="1" applyProtection="1">
      <protection hidden="1"/>
    </xf>
    <xf numFmtId="0" fontId="21" fillId="0" borderId="12" xfId="0" applyFont="1" applyBorder="1" applyProtection="1">
      <protection hidden="1"/>
    </xf>
    <xf numFmtId="3" fontId="21" fillId="0" borderId="0" xfId="0" applyNumberFormat="1" applyFont="1" applyProtection="1">
      <protection hidden="1"/>
    </xf>
    <xf numFmtId="0" fontId="22" fillId="0" borderId="0" xfId="0" applyFont="1" applyBorder="1" applyProtection="1">
      <protection hidden="1"/>
    </xf>
    <xf numFmtId="0" fontId="23" fillId="0" borderId="0" xfId="0" applyFont="1" applyBorder="1" applyProtection="1">
      <protection hidden="1"/>
    </xf>
    <xf numFmtId="0" fontId="23" fillId="0" borderId="0" xfId="0" applyFont="1" applyBorder="1" applyAlignment="1" applyProtection="1">
      <alignment horizontal="center"/>
      <protection hidden="1"/>
    </xf>
    <xf numFmtId="4" fontId="21" fillId="0" borderId="0" xfId="0" applyNumberFormat="1" applyFont="1" applyBorder="1" applyProtection="1">
      <protection hidden="1"/>
    </xf>
    <xf numFmtId="3" fontId="21" fillId="0" borderId="0" xfId="0" applyNumberFormat="1" applyFont="1" applyBorder="1" applyProtection="1">
      <protection hidden="1"/>
    </xf>
    <xf numFmtId="0" fontId="0" fillId="0" borderId="56" xfId="0" applyBorder="1" applyProtection="1">
      <protection hidden="1"/>
    </xf>
    <xf numFmtId="0" fontId="1" fillId="0" borderId="57" xfId="0" applyFont="1" applyBorder="1" applyAlignment="1" applyProtection="1">
      <alignment vertical="center"/>
      <protection hidden="1"/>
    </xf>
    <xf numFmtId="0" fontId="0" fillId="0" borderId="51" xfId="0" applyBorder="1" applyProtection="1">
      <protection hidden="1"/>
    </xf>
    <xf numFmtId="0" fontId="0" fillId="0" borderId="52" xfId="0" applyBorder="1" applyProtection="1">
      <protection hidden="1"/>
    </xf>
    <xf numFmtId="0" fontId="5" fillId="7" borderId="60" xfId="0" applyFont="1" applyFill="1" applyBorder="1" applyAlignment="1" applyProtection="1">
      <alignment horizontal="center"/>
      <protection hidden="1"/>
    </xf>
    <xf numFmtId="0" fontId="4" fillId="16" borderId="60" xfId="0" applyFont="1" applyFill="1" applyBorder="1" applyProtection="1">
      <protection locked="0"/>
    </xf>
    <xf numFmtId="0" fontId="5" fillId="0" borderId="61" xfId="0" applyFont="1" applyBorder="1" applyProtection="1">
      <protection hidden="1"/>
    </xf>
    <xf numFmtId="2" fontId="2" fillId="9" borderId="52" xfId="0" applyNumberFormat="1" applyFont="1" applyFill="1" applyBorder="1" applyProtection="1">
      <protection hidden="1"/>
    </xf>
    <xf numFmtId="0" fontId="0" fillId="0" borderId="62" xfId="0" applyBorder="1" applyProtection="1">
      <protection hidden="1"/>
    </xf>
    <xf numFmtId="2" fontId="2" fillId="9" borderId="61" xfId="0" applyNumberFormat="1" applyFont="1" applyFill="1" applyBorder="1" applyProtection="1">
      <protection hidden="1"/>
    </xf>
    <xf numFmtId="4" fontId="2" fillId="9" borderId="63" xfId="0" applyNumberFormat="1" applyFont="1" applyFill="1" applyBorder="1" applyProtection="1">
      <protection hidden="1"/>
    </xf>
    <xf numFmtId="0" fontId="0" fillId="0" borderId="53" xfId="0" applyBorder="1" applyProtection="1">
      <protection hidden="1"/>
    </xf>
    <xf numFmtId="0" fontId="4" fillId="16" borderId="64" xfId="0" applyFont="1" applyFill="1" applyBorder="1" applyProtection="1">
      <protection locked="0"/>
    </xf>
    <xf numFmtId="0" fontId="8" fillId="8" borderId="65" xfId="0" applyFont="1" applyFill="1" applyBorder="1" applyAlignment="1" applyProtection="1">
      <alignment horizontal="center"/>
      <protection hidden="1"/>
    </xf>
    <xf numFmtId="0" fontId="2" fillId="7" borderId="65" xfId="0" applyFont="1" applyFill="1" applyBorder="1" applyProtection="1">
      <protection hidden="1"/>
    </xf>
    <xf numFmtId="0" fontId="2" fillId="16" borderId="65" xfId="0" applyFont="1" applyFill="1" applyBorder="1" applyProtection="1">
      <protection locked="0"/>
    </xf>
    <xf numFmtId="0" fontId="0" fillId="6" borderId="65" xfId="0" applyFont="1" applyFill="1" applyBorder="1" applyProtection="1">
      <protection hidden="1"/>
    </xf>
    <xf numFmtId="0" fontId="0" fillId="7" borderId="65" xfId="0" applyFont="1" applyFill="1" applyBorder="1" applyProtection="1">
      <protection hidden="1"/>
    </xf>
    <xf numFmtId="4" fontId="2" fillId="9" borderId="65" xfId="0" applyNumberFormat="1" applyFont="1" applyFill="1" applyBorder="1" applyProtection="1">
      <protection hidden="1"/>
    </xf>
    <xf numFmtId="0" fontId="0" fillId="9" borderId="66" xfId="0" applyFill="1" applyBorder="1" applyProtection="1">
      <protection hidden="1"/>
    </xf>
    <xf numFmtId="0" fontId="24" fillId="16" borderId="50" xfId="0" applyFont="1" applyFill="1" applyBorder="1" applyProtection="1">
      <protection locked="0"/>
    </xf>
    <xf numFmtId="0" fontId="17" fillId="0" borderId="0" xfId="0" applyFont="1" applyAlignment="1" applyProtection="1">
      <alignment vertical="center" wrapText="1"/>
      <protection hidden="1"/>
    </xf>
    <xf numFmtId="0" fontId="0" fillId="0" borderId="0" xfId="0" applyAlignment="1" applyProtection="1">
      <alignment horizontal="left" vertical="center" wrapText="1"/>
      <protection hidden="1"/>
    </xf>
    <xf numFmtId="0" fontId="0" fillId="0" borderId="0" xfId="0" applyNumberFormat="1" applyAlignment="1" applyProtection="1">
      <alignment horizontal="left" vertical="center" wrapText="1"/>
      <protection hidden="1"/>
    </xf>
    <xf numFmtId="0" fontId="11" fillId="20" borderId="20" xfId="0" applyFont="1" applyFill="1" applyBorder="1" applyProtection="1">
      <protection hidden="1"/>
    </xf>
    <xf numFmtId="0" fontId="11" fillId="20" borderId="21" xfId="0" applyFont="1" applyFill="1" applyBorder="1" applyProtection="1">
      <protection hidden="1"/>
    </xf>
    <xf numFmtId="4" fontId="11" fillId="20" borderId="21" xfId="0" applyNumberFormat="1" applyFont="1" applyFill="1" applyBorder="1" applyProtection="1">
      <protection hidden="1"/>
    </xf>
    <xf numFmtId="0" fontId="11" fillId="20" borderId="22" xfId="0" applyFont="1" applyFill="1" applyBorder="1" applyProtection="1">
      <protection hidden="1"/>
    </xf>
    <xf numFmtId="0" fontId="11" fillId="20" borderId="13" xfId="0" applyFont="1" applyFill="1" applyBorder="1" applyProtection="1">
      <protection hidden="1"/>
    </xf>
    <xf numFmtId="0" fontId="11" fillId="20" borderId="14" xfId="0" applyFont="1" applyFill="1" applyBorder="1" applyProtection="1">
      <protection hidden="1"/>
    </xf>
    <xf numFmtId="4" fontId="11" fillId="20" borderId="14" xfId="0" applyNumberFormat="1" applyFont="1" applyFill="1" applyBorder="1" applyProtection="1">
      <protection hidden="1"/>
    </xf>
    <xf numFmtId="0" fontId="11" fillId="20" borderId="15" xfId="0" applyFont="1" applyFill="1" applyBorder="1" applyProtection="1">
      <protection hidden="1"/>
    </xf>
    <xf numFmtId="0" fontId="0" fillId="14" borderId="0" xfId="0" applyFill="1" applyProtection="1">
      <protection hidden="1"/>
    </xf>
    <xf numFmtId="0" fontId="15" fillId="10" borderId="40" xfId="0" applyFont="1" applyFill="1" applyBorder="1" applyProtection="1">
      <protection hidden="1"/>
    </xf>
    <xf numFmtId="0" fontId="15" fillId="10" borderId="16" xfId="0" applyFont="1" applyFill="1" applyBorder="1" applyProtection="1">
      <protection hidden="1"/>
    </xf>
    <xf numFmtId="164" fontId="15" fillId="10" borderId="16" xfId="0" applyNumberFormat="1" applyFont="1" applyFill="1" applyBorder="1" applyAlignment="1" applyProtection="1">
      <alignment horizontal="left"/>
      <protection hidden="1"/>
    </xf>
    <xf numFmtId="164" fontId="25" fillId="10" borderId="16" xfId="0" applyNumberFormat="1" applyFont="1" applyFill="1" applyBorder="1" applyProtection="1">
      <protection hidden="1"/>
    </xf>
    <xf numFmtId="0" fontId="15" fillId="10" borderId="41" xfId="0" applyFont="1" applyFill="1" applyBorder="1" applyProtection="1">
      <protection hidden="1"/>
    </xf>
    <xf numFmtId="0" fontId="15" fillId="10" borderId="23" xfId="0" applyFont="1" applyFill="1" applyBorder="1" applyProtection="1">
      <protection hidden="1"/>
    </xf>
    <xf numFmtId="4" fontId="26" fillId="10" borderId="16" xfId="0" applyNumberFormat="1" applyFont="1" applyFill="1" applyBorder="1" applyAlignment="1" applyProtection="1">
      <alignment horizontal="left"/>
      <protection hidden="1"/>
    </xf>
    <xf numFmtId="0" fontId="15" fillId="10" borderId="24" xfId="0" applyFont="1" applyFill="1" applyBorder="1" applyProtection="1">
      <protection hidden="1"/>
    </xf>
    <xf numFmtId="0" fontId="15" fillId="10" borderId="42" xfId="0" applyFont="1" applyFill="1" applyBorder="1" applyProtection="1">
      <protection hidden="1"/>
    </xf>
    <xf numFmtId="4" fontId="15" fillId="10" borderId="16" xfId="0" applyNumberFormat="1" applyFont="1" applyFill="1" applyBorder="1" applyAlignment="1" applyProtection="1">
      <alignment horizontal="left"/>
      <protection hidden="1"/>
    </xf>
    <xf numFmtId="4" fontId="26" fillId="10" borderId="24" xfId="0" applyNumberFormat="1" applyFont="1" applyFill="1" applyBorder="1" applyProtection="1">
      <protection hidden="1"/>
    </xf>
    <xf numFmtId="0" fontId="15" fillId="10" borderId="43" xfId="0" applyFont="1" applyFill="1" applyBorder="1" applyProtection="1">
      <protection hidden="1"/>
    </xf>
    <xf numFmtId="0" fontId="15" fillId="10" borderId="44" xfId="0" applyFont="1" applyFill="1" applyBorder="1" applyProtection="1">
      <protection hidden="1"/>
    </xf>
    <xf numFmtId="4" fontId="26" fillId="0" borderId="9" xfId="0" applyNumberFormat="1" applyFont="1" applyBorder="1" applyProtection="1">
      <protection hidden="1"/>
    </xf>
    <xf numFmtId="0" fontId="15" fillId="0" borderId="0" xfId="0" applyFont="1" applyProtection="1">
      <protection hidden="1"/>
    </xf>
    <xf numFmtId="0" fontId="15" fillId="0" borderId="0" xfId="0" applyFont="1" applyProtection="1">
      <protection locked="0"/>
    </xf>
    <xf numFmtId="0" fontId="15" fillId="0" borderId="31" xfId="0" applyFont="1" applyBorder="1" applyProtection="1">
      <protection hidden="1"/>
    </xf>
    <xf numFmtId="0" fontId="15" fillId="0" borderId="35" xfId="0" applyFont="1" applyBorder="1" applyProtection="1">
      <protection locked="0"/>
    </xf>
    <xf numFmtId="0" fontId="26" fillId="0" borderId="9" xfId="0" applyFont="1" applyBorder="1" applyProtection="1">
      <protection locked="0"/>
    </xf>
    <xf numFmtId="0" fontId="15" fillId="0" borderId="32" xfId="0" applyFont="1" applyBorder="1" applyProtection="1">
      <protection locked="0"/>
    </xf>
    <xf numFmtId="0" fontId="15" fillId="0" borderId="33" xfId="0" applyFont="1" applyBorder="1" applyProtection="1">
      <protection locked="0"/>
    </xf>
    <xf numFmtId="0" fontId="15" fillId="0" borderId="17" xfId="0" applyFont="1" applyBorder="1" applyProtection="1">
      <protection locked="0"/>
    </xf>
    <xf numFmtId="0" fontId="26" fillId="11" borderId="30" xfId="0" applyFont="1" applyFill="1" applyBorder="1" applyProtection="1">
      <protection hidden="1"/>
    </xf>
    <xf numFmtId="0" fontId="15" fillId="10" borderId="45" xfId="0" applyFont="1" applyFill="1" applyBorder="1" applyProtection="1">
      <protection hidden="1"/>
    </xf>
    <xf numFmtId="0" fontId="15" fillId="10" borderId="46" xfId="0" applyFont="1" applyFill="1" applyBorder="1" applyProtection="1">
      <protection hidden="1"/>
    </xf>
    <xf numFmtId="0" fontId="15" fillId="10" borderId="47" xfId="0" applyFont="1" applyFill="1" applyBorder="1" applyProtection="1">
      <protection hidden="1"/>
    </xf>
    <xf numFmtId="0" fontId="15" fillId="10" borderId="48" xfId="0" applyFont="1" applyFill="1" applyBorder="1" applyProtection="1">
      <protection hidden="1"/>
    </xf>
    <xf numFmtId="0" fontId="15" fillId="10" borderId="49" xfId="0" applyFont="1" applyFill="1" applyBorder="1" applyProtection="1">
      <protection hidden="1"/>
    </xf>
    <xf numFmtId="0" fontId="15" fillId="0" borderId="67" xfId="0" applyFont="1" applyBorder="1" applyProtection="1">
      <protection locked="0"/>
    </xf>
    <xf numFmtId="0" fontId="15" fillId="0" borderId="36" xfId="0" applyFont="1" applyBorder="1" applyProtection="1">
      <protection locked="0"/>
    </xf>
    <xf numFmtId="0" fontId="15" fillId="0" borderId="69" xfId="0" applyFont="1" applyBorder="1" applyAlignment="1" applyProtection="1">
      <alignment horizontal="right"/>
      <protection locked="0"/>
    </xf>
    <xf numFmtId="0" fontId="15" fillId="0" borderId="68" xfId="0" applyFont="1" applyBorder="1" applyAlignment="1" applyProtection="1">
      <alignment horizontal="right"/>
      <protection locked="0"/>
    </xf>
    <xf numFmtId="0" fontId="15" fillId="0" borderId="0" xfId="0" applyFont="1" applyBorder="1" applyProtection="1">
      <protection locked="0"/>
    </xf>
    <xf numFmtId="0" fontId="15" fillId="0" borderId="68" xfId="0" applyFont="1" applyBorder="1" applyProtection="1">
      <protection locked="0"/>
    </xf>
    <xf numFmtId="0" fontId="15" fillId="10" borderId="74" xfId="0" applyFont="1" applyFill="1" applyBorder="1" applyProtection="1">
      <protection hidden="1"/>
    </xf>
    <xf numFmtId="0" fontId="15" fillId="12" borderId="70" xfId="0" applyFont="1" applyFill="1" applyBorder="1" applyProtection="1">
      <protection hidden="1"/>
    </xf>
    <xf numFmtId="0" fontId="26" fillId="12" borderId="70" xfId="0" applyFont="1" applyFill="1" applyBorder="1" applyProtection="1">
      <protection hidden="1"/>
    </xf>
    <xf numFmtId="0" fontId="0" fillId="21" borderId="43" xfId="0" applyFont="1" applyFill="1" applyBorder="1" applyProtection="1">
      <protection hidden="1"/>
    </xf>
    <xf numFmtId="0" fontId="3" fillId="22" borderId="73" xfId="0" applyFont="1" applyFill="1" applyBorder="1" applyProtection="1">
      <protection locked="0"/>
    </xf>
    <xf numFmtId="0" fontId="0" fillId="22" borderId="72" xfId="0" applyFont="1" applyFill="1" applyBorder="1" applyAlignment="1" applyProtection="1">
      <alignment horizontal="right"/>
      <protection locked="0"/>
    </xf>
    <xf numFmtId="0" fontId="0" fillId="10" borderId="43" xfId="0" applyFont="1" applyFill="1" applyBorder="1" applyProtection="1">
      <protection hidden="1"/>
    </xf>
    <xf numFmtId="0" fontId="3" fillId="10" borderId="35" xfId="0" applyFont="1" applyFill="1" applyBorder="1" applyProtection="1">
      <protection hidden="1"/>
    </xf>
    <xf numFmtId="0" fontId="3" fillId="10" borderId="68" xfId="0" applyFont="1" applyFill="1" applyBorder="1" applyAlignment="1" applyProtection="1">
      <alignment horizontal="left"/>
      <protection hidden="1"/>
    </xf>
    <xf numFmtId="0" fontId="0" fillId="10" borderId="67" xfId="0" applyFont="1" applyFill="1" applyBorder="1" applyProtection="1">
      <protection hidden="1"/>
    </xf>
    <xf numFmtId="0" fontId="3" fillId="10" borderId="9" xfId="0" applyFont="1" applyFill="1" applyBorder="1" applyAlignment="1" applyProtection="1">
      <alignment horizontal="center"/>
      <protection hidden="1"/>
    </xf>
    <xf numFmtId="0" fontId="0" fillId="10" borderId="44" xfId="0" applyFont="1" applyFill="1" applyBorder="1" applyProtection="1">
      <protection hidden="1"/>
    </xf>
    <xf numFmtId="0" fontId="3" fillId="10" borderId="9" xfId="0" applyFont="1" applyFill="1" applyBorder="1" applyProtection="1">
      <protection hidden="1"/>
    </xf>
    <xf numFmtId="0" fontId="3" fillId="10" borderId="25" xfId="0" applyFont="1" applyFill="1" applyBorder="1" applyProtection="1">
      <protection hidden="1"/>
    </xf>
    <xf numFmtId="0" fontId="3" fillId="10" borderId="26" xfId="0" applyFont="1" applyFill="1" applyBorder="1" applyAlignment="1" applyProtection="1">
      <alignment horizontal="center"/>
      <protection hidden="1"/>
    </xf>
    <xf numFmtId="0" fontId="15" fillId="0" borderId="9" xfId="0" applyFont="1" applyBorder="1" applyProtection="1">
      <protection locked="0"/>
    </xf>
    <xf numFmtId="0" fontId="0" fillId="22" borderId="71" xfId="0" applyFont="1" applyFill="1" applyBorder="1" applyProtection="1">
      <protection locked="0"/>
    </xf>
    <xf numFmtId="0" fontId="0" fillId="10" borderId="42" xfId="0" applyFont="1" applyFill="1" applyBorder="1" applyProtection="1">
      <protection hidden="1"/>
    </xf>
    <xf numFmtId="0" fontId="15" fillId="0" borderId="75" xfId="0" applyFont="1" applyBorder="1" applyProtection="1">
      <protection locked="0"/>
    </xf>
    <xf numFmtId="0" fontId="3" fillId="22" borderId="55" xfId="0" applyFont="1" applyFill="1" applyBorder="1" applyProtection="1">
      <protection locked="0"/>
    </xf>
    <xf numFmtId="0" fontId="21" fillId="14" borderId="0" xfId="0" applyFont="1" applyFill="1"/>
    <xf numFmtId="0" fontId="27" fillId="14" borderId="0" xfId="0" applyFont="1" applyFill="1"/>
    <xf numFmtId="0" fontId="27" fillId="14" borderId="12" xfId="0" applyFont="1" applyFill="1" applyBorder="1"/>
    <xf numFmtId="0" fontId="21" fillId="14" borderId="0" xfId="0" applyFont="1" applyFill="1" applyBorder="1"/>
    <xf numFmtId="0" fontId="1" fillId="16" borderId="58" xfId="0" applyFont="1" applyFill="1" applyBorder="1" applyAlignment="1" applyProtection="1">
      <alignment horizontal="left" vertical="center"/>
      <protection locked="0"/>
    </xf>
    <xf numFmtId="0" fontId="1" fillId="16" borderId="59" xfId="0" applyFont="1" applyFill="1" applyBorder="1" applyAlignment="1" applyProtection="1">
      <alignment horizontal="left" vertical="center"/>
      <protection locked="0"/>
    </xf>
    <xf numFmtId="0" fontId="5" fillId="0" borderId="1" xfId="0" applyFont="1" applyBorder="1" applyProtection="1">
      <protection hidden="1"/>
    </xf>
    <xf numFmtId="0" fontId="2" fillId="0" borderId="1" xfId="0" applyFont="1" applyBorder="1" applyProtection="1">
      <protection hidden="1"/>
    </xf>
    <xf numFmtId="0" fontId="15" fillId="0" borderId="68" xfId="0" applyFont="1" applyBorder="1" applyProtection="1">
      <protection locked="0"/>
    </xf>
    <xf numFmtId="0" fontId="15" fillId="0" borderId="71" xfId="0" applyFont="1" applyBorder="1" applyProtection="1">
      <protection locked="0"/>
    </xf>
    <xf numFmtId="0" fontId="15" fillId="0" borderId="76" xfId="0" applyFont="1" applyBorder="1" applyProtection="1">
      <protection locked="0"/>
    </xf>
  </cellXfs>
  <cellStyles count="6">
    <cellStyle name="blau" xfId="4"/>
    <cellStyle name="gelb" xfId="5"/>
    <cellStyle name="grün" xfId="1"/>
    <cellStyle name="rot" xfId="2"/>
    <cellStyle name="Standard" xfId="0" builtinId="0"/>
    <cellStyle name="Unbenannt1" xfId="3"/>
  </cellStyles>
  <dxfs count="18"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theme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 patternType="solid">
          <fgColor indexed="43"/>
          <bgColor indexed="13"/>
        </patternFill>
      </fill>
    </dxf>
    <dxf>
      <fill>
        <patternFill patternType="solid">
          <fgColor indexed="49"/>
          <bgColor rgb="FF00B050"/>
        </patternFill>
      </fill>
    </dxf>
    <dxf>
      <fill>
        <patternFill patternType="solid">
          <fgColor indexed="60"/>
          <bgColor indexed="10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23FF2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B3B3B3"/>
      <rgbColor rgb="00808080"/>
      <rgbColor rgb="009999FF"/>
      <rgbColor rgb="00993366"/>
      <rgbColor rgb="00EFF0F0"/>
      <rgbColor rgb="00CCFFFF"/>
      <rgbColor rgb="00660066"/>
      <rgbColor rgb="00FF8080"/>
      <rgbColor rgb="000084D1"/>
      <rgbColor rgb="00CCCCFF"/>
      <rgbColor rgb="00000080"/>
      <rgbColor rgb="00FF00FF"/>
      <rgbColor rgb="00FFD320"/>
      <rgbColor rgb="0000FFFF"/>
      <rgbColor rgb="00800080"/>
      <rgbColor rgb="00800000"/>
      <rgbColor rgb="00008080"/>
      <rgbColor rgb="000000FF"/>
      <rgbColor rgb="000099FF"/>
      <rgbColor rgb="00EEEEEE"/>
      <rgbColor rgb="00E6E6E6"/>
      <rgbColor rgb="00FFFF66"/>
      <rgbColor rgb="0083CAFF"/>
      <rgbColor rgb="00FF99CC"/>
      <rgbColor rgb="00CC99FF"/>
      <rgbColor rgb="00FFCC99"/>
      <rgbColor rgb="003366FF"/>
      <rgbColor rgb="0033CCCC"/>
      <rgbColor rgb="00AECF00"/>
      <rgbColor rgb="00FFCC00"/>
      <rgbColor rgb="00FF9900"/>
      <rgbColor rgb="00FF950E"/>
      <rgbColor rgb="00666699"/>
      <rgbColor rgb="0094BD5E"/>
      <rgbColor rgb="00004586"/>
      <rgbColor rgb="00339966"/>
      <rgbColor rgb="00121212"/>
      <rgbColor rgb="00314004"/>
      <rgbColor rgb="00DC2300"/>
      <rgbColor rgb="00993366"/>
      <rgbColor rgb="00333399"/>
      <rgbColor rgb="00333333"/>
    </indexedColors>
    <mruColors>
      <color rgb="FFCCFF33"/>
      <color rgb="FFFF3300"/>
      <color rgb="FF66FF33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7316682016095203"/>
          <c:y val="2.1810931312366646E-3"/>
          <c:w val="0.76243231042873505"/>
          <c:h val="0.78494898405642377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0084D1"/>
            </a:solidFill>
            <a:ln w="25400">
              <a:noFill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993366"/>
              </a:solidFill>
              <a:ln w="25400">
                <a:noFill/>
              </a:ln>
            </c:spPr>
          </c:dPt>
          <c:dPt>
            <c:idx val="1"/>
            <c:invertIfNegative val="0"/>
            <c:bubble3D val="0"/>
            <c:spPr>
              <a:solidFill>
                <a:srgbClr val="314004"/>
              </a:solidFill>
              <a:ln w="25400">
                <a:noFill/>
              </a:ln>
            </c:spPr>
          </c:dPt>
          <c:dPt>
            <c:idx val="2"/>
            <c:invertIfNegative val="0"/>
            <c:bubble3D val="0"/>
            <c:spPr>
              <a:solidFill>
                <a:srgbClr val="004586"/>
              </a:solidFill>
              <a:ln w="25400">
                <a:noFill/>
              </a:ln>
            </c:spPr>
          </c:dPt>
          <c:dPt>
            <c:idx val="3"/>
            <c:invertIfNegative val="0"/>
            <c:bubble3D val="0"/>
            <c:spPr>
              <a:solidFill>
                <a:srgbClr val="FFFF66"/>
              </a:solidFill>
              <a:ln w="25400">
                <a:noFill/>
              </a:ln>
            </c:spPr>
          </c:dPt>
          <c:dPt>
            <c:idx val="4"/>
            <c:invertIfNegative val="0"/>
            <c:bubble3D val="0"/>
            <c:spPr>
              <a:solidFill>
                <a:srgbClr val="FF950E"/>
              </a:solidFill>
              <a:ln w="25400">
                <a:noFill/>
              </a:ln>
            </c:spPr>
          </c:dPt>
          <c:dPt>
            <c:idx val="5"/>
            <c:invertIfNegative val="0"/>
            <c:bubble3D val="0"/>
            <c:spPr>
              <a:solidFill>
                <a:srgbClr val="AECF00"/>
              </a:solidFill>
              <a:ln w="25400">
                <a:noFill/>
              </a:ln>
            </c:spPr>
          </c:dPt>
          <c:dPt>
            <c:idx val="6"/>
            <c:invertIfNegative val="0"/>
            <c:bubble3D val="0"/>
            <c:spPr>
              <a:solidFill>
                <a:srgbClr val="FFD320"/>
              </a:solidFill>
              <a:ln w="25400">
                <a:noFill/>
              </a:ln>
            </c:spPr>
          </c:dPt>
          <c:dLbls>
            <c:dLbl>
              <c:idx val="0"/>
              <c:layout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layout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layout/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#,##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de-D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Rezepteingabe!$V$10:$AC$10</c:f>
              <c:strCache>
                <c:ptCount val="8"/>
                <c:pt idx="0">
                  <c:v>Laurinsäure</c:v>
                </c:pt>
                <c:pt idx="1">
                  <c:v>Myristinsäure</c:v>
                </c:pt>
                <c:pt idx="2">
                  <c:v>Palmitinsäure</c:v>
                </c:pt>
                <c:pt idx="3">
                  <c:v>Stearinsäure</c:v>
                </c:pt>
                <c:pt idx="4">
                  <c:v>Ricinsäure</c:v>
                </c:pt>
                <c:pt idx="5">
                  <c:v>Ölsäure</c:v>
                </c:pt>
                <c:pt idx="6">
                  <c:v>Linolsäure</c:v>
                </c:pt>
                <c:pt idx="7">
                  <c:v>Linolensäure</c:v>
                </c:pt>
              </c:strCache>
            </c:strRef>
          </c:cat>
          <c:val>
            <c:numRef>
              <c:f>Rezepteingabe!$V$21:$AC$21</c:f>
              <c:numCache>
                <c:formatCode>#,##0</c:formatCode>
                <c:ptCount val="8"/>
                <c:pt idx="0">
                  <c:v>19.8</c:v>
                </c:pt>
                <c:pt idx="1">
                  <c:v>12.75</c:v>
                </c:pt>
                <c:pt idx="2">
                  <c:v>13.4</c:v>
                </c:pt>
                <c:pt idx="3">
                  <c:v>2.5</c:v>
                </c:pt>
                <c:pt idx="4">
                  <c:v>0</c:v>
                </c:pt>
                <c:pt idx="5">
                  <c:v>33.700000000000003</c:v>
                </c:pt>
                <c:pt idx="6">
                  <c:v>6.4</c:v>
                </c:pt>
                <c:pt idx="7">
                  <c:v>0.1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78524544"/>
        <c:axId val="178526080"/>
      </c:barChart>
      <c:catAx>
        <c:axId val="17852454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B3B3B3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85260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8526080"/>
        <c:scaling>
          <c:orientation val="minMax"/>
        </c:scaling>
        <c:delete val="0"/>
        <c:axPos val="b"/>
        <c:majorGridlines>
          <c:spPr>
            <a:ln w="3175">
              <a:solidFill>
                <a:srgbClr val="B3B3B3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B3B3B3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8524544"/>
        <c:crosses val="autoZero"/>
        <c:crossBetween val="between"/>
      </c:valAx>
      <c:spPr>
        <a:noFill/>
        <a:ln w="3175">
          <a:solidFill>
            <a:srgbClr val="B3B3B3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89" l="0.78740157499999996" r="0.78740157499999996" t="0.98425196899999989" header="0.51180555555555562" footer="0.51180555555555562"/>
    <c:pageSetup firstPageNumber="0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3</xdr:col>
      <xdr:colOff>527050</xdr:colOff>
      <xdr:row>27</xdr:row>
      <xdr:rowOff>117475</xdr:rowOff>
    </xdr:from>
    <xdr:to>
      <xdr:col>9</xdr:col>
      <xdr:colOff>1012825</xdr:colOff>
      <xdr:row>43</xdr:row>
      <xdr:rowOff>133350</xdr:rowOff>
    </xdr:to>
    <xdr:graphicFrame macro="">
      <xdr:nvGraphicFramePr>
        <xdr:cNvPr id="1025" name="Diagramm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6</xdr:col>
      <xdr:colOff>125413</xdr:colOff>
      <xdr:row>0</xdr:row>
      <xdr:rowOff>0</xdr:rowOff>
    </xdr:from>
    <xdr:to>
      <xdr:col>8</xdr:col>
      <xdr:colOff>658814</xdr:colOff>
      <xdr:row>2</xdr:row>
      <xdr:rowOff>153194</xdr:rowOff>
    </xdr:to>
    <xdr:sp macro="" textlink="" fLocksText="0">
      <xdr:nvSpPr>
        <xdr:cNvPr id="2049" name="Text Box 1"/>
        <xdr:cNvSpPr txBox="1">
          <a:spLocks noChangeArrowheads="1"/>
        </xdr:cNvSpPr>
      </xdr:nvSpPr>
      <xdr:spPr bwMode="auto">
        <a:xfrm flipV="1">
          <a:off x="5981701" y="0"/>
          <a:ext cx="2082800" cy="5461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0" tIns="0" rIns="0" bIns="0" anchor="t"/>
        <a:lstStyle/>
        <a:p>
          <a:pPr algn="l" rtl="0">
            <a:defRPr sz="1000"/>
          </a:pPr>
          <a:endParaRPr lang="de-DE" sz="12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3</xdr:col>
      <xdr:colOff>59532</xdr:colOff>
      <xdr:row>37</xdr:row>
      <xdr:rowOff>154782</xdr:rowOff>
    </xdr:from>
    <xdr:to>
      <xdr:col>4</xdr:col>
      <xdr:colOff>936332</xdr:colOff>
      <xdr:row>41</xdr:row>
      <xdr:rowOff>142876</xdr:rowOff>
    </xdr:to>
    <xdr:pic>
      <xdr:nvPicPr>
        <xdr:cNvPr id="2" name="Grafik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38626" y="6381751"/>
          <a:ext cx="1293519" cy="6548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seifenteufel.de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55"/>
  </sheetPr>
  <dimension ref="A1:AP95"/>
  <sheetViews>
    <sheetView topLeftCell="A5" zoomScale="75" zoomScaleNormal="75" workbookViewId="0">
      <selection activeCell="D58" sqref="D58"/>
    </sheetView>
  </sheetViews>
  <sheetFormatPr baseColWidth="10" defaultColWidth="11.5703125" defaultRowHeight="12.75" x14ac:dyDescent="0.2"/>
  <cols>
    <col min="1" max="1" width="3.140625" style="1" customWidth="1"/>
    <col min="2" max="2" width="45.140625" style="1" customWidth="1"/>
    <col min="3" max="3" width="13.5703125" style="1" customWidth="1"/>
    <col min="4" max="4" width="31.5703125" style="1" customWidth="1"/>
    <col min="5" max="5" width="8" style="1" customWidth="1"/>
    <col min="6" max="6" width="3.7109375" style="1" customWidth="1"/>
    <col min="7" max="7" width="8.7109375" style="1" customWidth="1"/>
    <col min="8" max="8" width="3.5703125" style="1" customWidth="1"/>
    <col min="9" max="9" width="14.7109375" style="1" customWidth="1"/>
    <col min="10" max="10" width="16.28515625" style="1" customWidth="1"/>
    <col min="11" max="18" width="11.5703125" style="1"/>
    <col min="19" max="19" width="13.140625" style="1" customWidth="1"/>
    <col min="20" max="16384" width="11.5703125" style="1"/>
  </cols>
  <sheetData>
    <row r="1" spans="1:42" ht="31.15" customHeight="1" thickBot="1" x14ac:dyDescent="0.25">
      <c r="A1" s="119"/>
      <c r="B1" s="120" t="s">
        <v>0</v>
      </c>
      <c r="C1" s="210" t="s">
        <v>1</v>
      </c>
      <c r="D1" s="210"/>
      <c r="E1" s="210"/>
      <c r="F1" s="210"/>
      <c r="G1" s="210"/>
      <c r="H1" s="210"/>
      <c r="I1" s="210"/>
      <c r="J1" s="211"/>
      <c r="K1" s="2"/>
    </row>
    <row r="2" spans="1:42" ht="17.100000000000001" customHeight="1" thickTop="1" thickBot="1" x14ac:dyDescent="0.3">
      <c r="A2" s="121"/>
      <c r="B2" s="3" t="s">
        <v>2</v>
      </c>
      <c r="C2" s="80">
        <v>42530</v>
      </c>
      <c r="D2" s="4" t="s">
        <v>3</v>
      </c>
      <c r="E2" s="83" t="s">
        <v>174</v>
      </c>
      <c r="F2" s="5"/>
      <c r="G2" s="4"/>
      <c r="H2" s="4"/>
      <c r="I2" s="2"/>
      <c r="J2" s="122"/>
      <c r="K2" s="2"/>
    </row>
    <row r="3" spans="1:42" ht="17.100000000000001" customHeight="1" thickTop="1" thickBot="1" x14ac:dyDescent="0.3">
      <c r="A3" s="121"/>
      <c r="B3" s="91" t="s">
        <v>4</v>
      </c>
      <c r="C3" s="81" t="s">
        <v>5</v>
      </c>
      <c r="D3" s="6" t="s">
        <v>6</v>
      </c>
      <c r="E3" s="84">
        <v>3</v>
      </c>
      <c r="F3" s="7" t="s">
        <v>7</v>
      </c>
      <c r="G3" s="212" t="s">
        <v>8</v>
      </c>
      <c r="H3" s="212"/>
      <c r="I3" s="212"/>
      <c r="J3" s="123">
        <f>E3*K21/100</f>
        <v>7.5</v>
      </c>
      <c r="K3" s="110"/>
      <c r="L3" s="111"/>
      <c r="M3" s="111"/>
      <c r="N3" s="111"/>
      <c r="O3" s="111"/>
      <c r="P3" s="111"/>
      <c r="Q3" s="111"/>
      <c r="R3" s="111"/>
      <c r="S3" s="111"/>
      <c r="T3" s="111"/>
      <c r="U3" s="111"/>
      <c r="V3" s="111"/>
      <c r="W3" s="111"/>
      <c r="X3" s="111"/>
      <c r="Y3" s="111"/>
      <c r="Z3" s="111"/>
      <c r="AA3" s="111"/>
      <c r="AB3" s="111"/>
      <c r="AC3" s="111"/>
      <c r="AD3" s="111"/>
      <c r="AE3" s="111"/>
      <c r="AF3" s="111"/>
      <c r="AG3" s="111"/>
      <c r="AH3" s="111"/>
      <c r="AI3" s="111"/>
    </row>
    <row r="4" spans="1:42" ht="19.899999999999999" customHeight="1" thickTop="1" thickBot="1" x14ac:dyDescent="0.3">
      <c r="A4" s="121"/>
      <c r="B4" s="91" t="s">
        <v>9</v>
      </c>
      <c r="C4" s="82">
        <v>250</v>
      </c>
      <c r="D4" s="9" t="str">
        <f>IF(AND(C3="Prozent",C4=""),"Bitte die GFM eintragen!","")</f>
        <v/>
      </c>
      <c r="E4" s="10"/>
      <c r="F4" s="5"/>
      <c r="G4" s="2"/>
      <c r="H4" s="2"/>
      <c r="I4" s="2"/>
      <c r="J4" s="122"/>
      <c r="K4" s="110"/>
      <c r="L4" s="111"/>
      <c r="M4" s="111"/>
      <c r="N4" s="111"/>
      <c r="O4" s="111"/>
      <c r="P4" s="111"/>
      <c r="Q4" s="111"/>
      <c r="R4" s="111"/>
      <c r="S4" s="111"/>
      <c r="T4" s="111"/>
      <c r="U4" s="111"/>
      <c r="V4" s="111"/>
      <c r="W4" s="111"/>
      <c r="X4" s="111"/>
      <c r="Y4" s="111"/>
      <c r="Z4" s="111"/>
      <c r="AA4" s="111"/>
      <c r="AB4" s="111"/>
      <c r="AC4" s="111"/>
      <c r="AD4" s="111"/>
      <c r="AE4" s="111"/>
      <c r="AF4" s="111"/>
      <c r="AG4" s="111"/>
      <c r="AH4" s="111"/>
      <c r="AI4" s="111"/>
    </row>
    <row r="5" spans="1:42" ht="17.100000000000001" customHeight="1" thickTop="1" thickBot="1" x14ac:dyDescent="0.3">
      <c r="A5" s="121"/>
      <c r="B5" s="91" t="s">
        <v>10</v>
      </c>
      <c r="C5" s="82">
        <v>35</v>
      </c>
      <c r="D5" s="6" t="s">
        <v>11</v>
      </c>
      <c r="E5" s="11">
        <f>C5*C4/100</f>
        <v>87.5</v>
      </c>
      <c r="F5" s="12" t="s">
        <v>12</v>
      </c>
      <c r="G5" s="213" t="s">
        <v>13</v>
      </c>
      <c r="H5" s="213"/>
      <c r="I5" s="213"/>
      <c r="J5" s="124" t="s">
        <v>14</v>
      </c>
      <c r="K5" s="110"/>
      <c r="L5" s="111"/>
      <c r="M5" s="111"/>
      <c r="N5" s="111"/>
      <c r="O5" s="111"/>
      <c r="P5" s="111"/>
      <c r="Q5" s="111"/>
      <c r="R5" s="111"/>
      <c r="S5" s="111"/>
      <c r="T5" s="111"/>
      <c r="U5" s="111"/>
      <c r="V5" s="111"/>
      <c r="W5" s="111"/>
      <c r="X5" s="111"/>
      <c r="Y5" s="111"/>
      <c r="Z5" s="111"/>
      <c r="AA5" s="111"/>
      <c r="AB5" s="111"/>
      <c r="AC5" s="111"/>
      <c r="AD5" s="111"/>
      <c r="AE5" s="111"/>
      <c r="AF5" s="111"/>
      <c r="AG5" s="111"/>
      <c r="AH5" s="111"/>
      <c r="AI5" s="111"/>
    </row>
    <row r="6" spans="1:42" ht="17.100000000000001" customHeight="1" thickTop="1" thickBot="1" x14ac:dyDescent="0.3">
      <c r="A6" s="121"/>
      <c r="B6" s="91" t="s">
        <v>15</v>
      </c>
      <c r="C6" s="81" t="s">
        <v>171</v>
      </c>
      <c r="D6" s="13" t="str">
        <f>IF($C$6="NaOH/KOH","Mischverseifung NaOH in %:","Eingabe nur bei Mischverseifung")</f>
        <v>Mischverseifung NaOH in %:</v>
      </c>
      <c r="E6" s="85">
        <v>70</v>
      </c>
      <c r="F6" s="14" t="s">
        <v>7</v>
      </c>
      <c r="G6" s="2"/>
      <c r="H6" s="2"/>
      <c r="I6" s="2"/>
      <c r="J6" s="122"/>
      <c r="K6" s="110"/>
      <c r="L6" s="111"/>
      <c r="M6" s="111"/>
      <c r="N6" s="111"/>
      <c r="O6" s="111"/>
      <c r="P6" s="111"/>
      <c r="Q6" s="111"/>
      <c r="R6" s="111"/>
      <c r="S6" s="111"/>
      <c r="T6" s="111"/>
      <c r="U6" s="111"/>
      <c r="V6" s="111"/>
      <c r="W6" s="111"/>
      <c r="X6" s="111"/>
      <c r="Y6" s="111"/>
      <c r="Z6" s="111"/>
      <c r="AA6" s="111"/>
      <c r="AB6" s="111"/>
      <c r="AC6" s="111"/>
      <c r="AD6" s="111"/>
      <c r="AE6" s="111"/>
      <c r="AF6" s="111"/>
      <c r="AG6" s="111"/>
      <c r="AH6" s="111"/>
      <c r="AI6" s="111"/>
    </row>
    <row r="7" spans="1:42" ht="17.100000000000001" customHeight="1" thickTop="1" thickBot="1" x14ac:dyDescent="0.3">
      <c r="A7" s="121"/>
      <c r="B7" s="91" t="s">
        <v>17</v>
      </c>
      <c r="C7" s="82">
        <v>15</v>
      </c>
      <c r="D7" s="13" t="str">
        <f>IF($C$6="NaOH/KOH","Mischverseifung KOH in %:","Eingabe nur bei Mischverseifung")</f>
        <v>Mischverseifung KOH in %:</v>
      </c>
      <c r="E7" s="84">
        <v>30</v>
      </c>
      <c r="F7" s="14" t="s">
        <v>7</v>
      </c>
      <c r="G7" s="2"/>
      <c r="H7" s="2"/>
      <c r="I7" s="2"/>
      <c r="J7" s="122"/>
      <c r="K7" s="110"/>
      <c r="L7" s="110"/>
      <c r="M7" s="110"/>
      <c r="N7" s="110"/>
      <c r="O7" s="110"/>
      <c r="P7" s="110"/>
      <c r="Q7" s="110"/>
      <c r="R7" s="110"/>
      <c r="S7" s="110"/>
      <c r="T7" s="110"/>
      <c r="U7" s="110"/>
      <c r="V7" s="110"/>
      <c r="W7" s="110"/>
      <c r="X7" s="110"/>
      <c r="Y7" s="110"/>
      <c r="Z7" s="110"/>
      <c r="AA7" s="110"/>
      <c r="AB7" s="110"/>
      <c r="AC7" s="111"/>
      <c r="AD7" s="111"/>
      <c r="AE7" s="111"/>
      <c r="AF7" s="111"/>
      <c r="AG7" s="111"/>
      <c r="AH7" s="111"/>
      <c r="AI7" s="111"/>
    </row>
    <row r="8" spans="1:42" ht="17.100000000000001" customHeight="1" thickTop="1" thickBot="1" x14ac:dyDescent="0.3">
      <c r="A8" s="121"/>
      <c r="B8" s="91" t="s">
        <v>18</v>
      </c>
      <c r="C8" s="82">
        <v>90</v>
      </c>
      <c r="D8" s="4"/>
      <c r="E8" s="10"/>
      <c r="F8" s="5"/>
      <c r="G8" s="2"/>
      <c r="H8" s="2"/>
      <c r="I8" s="2"/>
      <c r="J8" s="122"/>
      <c r="K8" s="110"/>
      <c r="L8" s="110"/>
      <c r="M8" s="110"/>
      <c r="N8" s="110"/>
      <c r="O8" s="110"/>
      <c r="P8" s="110"/>
      <c r="Q8" s="110"/>
      <c r="R8" s="110"/>
      <c r="S8" s="110"/>
      <c r="T8" s="110"/>
      <c r="U8" s="110"/>
      <c r="V8" s="110"/>
      <c r="W8" s="110"/>
      <c r="X8" s="110"/>
      <c r="Y8" s="110"/>
      <c r="Z8" s="110"/>
      <c r="AA8" s="110"/>
      <c r="AB8" s="110"/>
      <c r="AC8" s="111"/>
      <c r="AD8" s="111"/>
      <c r="AE8" s="111"/>
      <c r="AF8" s="111"/>
      <c r="AG8" s="111"/>
      <c r="AH8" s="111"/>
      <c r="AI8" s="111"/>
      <c r="AJ8" s="16"/>
      <c r="AK8" s="16"/>
      <c r="AL8" s="16"/>
      <c r="AM8" s="16"/>
      <c r="AN8" s="16"/>
      <c r="AO8" s="16"/>
      <c r="AP8" s="16"/>
    </row>
    <row r="9" spans="1:42" ht="20.85" customHeight="1" thickTop="1" thickBot="1" x14ac:dyDescent="0.3">
      <c r="A9" s="121"/>
      <c r="B9" s="2"/>
      <c r="C9" s="19"/>
      <c r="D9" s="2"/>
      <c r="E9" s="2"/>
      <c r="F9" s="2"/>
      <c r="G9" s="2"/>
      <c r="H9" s="2"/>
      <c r="I9" s="20" t="str">
        <f>IF(C6="NaOH/KOH","Mischverseifung","")</f>
        <v>Mischverseifung</v>
      </c>
      <c r="J9" s="122"/>
      <c r="K9" s="110"/>
      <c r="L9" s="110"/>
      <c r="M9" s="110"/>
      <c r="N9" s="110"/>
      <c r="O9" s="114"/>
      <c r="P9" s="110"/>
      <c r="Q9" s="110"/>
      <c r="R9" s="110"/>
      <c r="S9" s="110"/>
      <c r="T9" s="110"/>
      <c r="U9" s="110"/>
      <c r="V9" s="110"/>
      <c r="W9" s="110"/>
      <c r="X9" s="110"/>
      <c r="Y9" s="110"/>
      <c r="Z9" s="110"/>
      <c r="AA9" s="110"/>
      <c r="AB9" s="110"/>
      <c r="AC9" s="111"/>
      <c r="AD9" s="111"/>
      <c r="AE9" s="111"/>
      <c r="AF9" s="111"/>
      <c r="AG9" s="111"/>
      <c r="AH9" s="111"/>
      <c r="AI9" s="111"/>
      <c r="AJ9" s="16"/>
      <c r="AK9" s="16"/>
      <c r="AL9" s="16"/>
      <c r="AM9" s="16"/>
      <c r="AN9" s="16"/>
      <c r="AO9" s="16"/>
      <c r="AP9" s="16"/>
    </row>
    <row r="10" spans="1:42" ht="20.100000000000001" customHeight="1" thickTop="1" thickBot="1" x14ac:dyDescent="0.3">
      <c r="A10" s="121" t="s">
        <v>19</v>
      </c>
      <c r="B10" s="21" t="s">
        <v>20</v>
      </c>
      <c r="C10" s="22" t="s">
        <v>21</v>
      </c>
      <c r="D10" s="90" t="s">
        <v>22</v>
      </c>
      <c r="E10" s="23" t="str">
        <f>C3</f>
        <v>Prozent</v>
      </c>
      <c r="F10" s="24"/>
      <c r="G10" s="23" t="str">
        <f>IF(E10="Prozent","Gramm","Prozent")</f>
        <v>Gramm</v>
      </c>
      <c r="H10" s="23"/>
      <c r="I10" s="23" t="str">
        <f>IF(C6="NaOH","NaOH",IF(C6="KOH","KOH","NaOH"))</f>
        <v>NaOH</v>
      </c>
      <c r="J10" s="125" t="str">
        <f>IF(C6="NaOH/KOH","KOH","")</f>
        <v>KOH</v>
      </c>
      <c r="K10" s="115" t="s">
        <v>23</v>
      </c>
      <c r="L10" s="115" t="s">
        <v>16</v>
      </c>
      <c r="M10" s="115" t="s">
        <v>24</v>
      </c>
      <c r="N10" s="115" t="s">
        <v>5</v>
      </c>
      <c r="O10" s="116" t="s">
        <v>25</v>
      </c>
      <c r="P10" s="115" t="s">
        <v>26</v>
      </c>
      <c r="Q10" s="116" t="s">
        <v>27</v>
      </c>
      <c r="R10" s="116" t="s">
        <v>28</v>
      </c>
      <c r="S10" s="115" t="s">
        <v>29</v>
      </c>
      <c r="T10" s="116" t="s">
        <v>30</v>
      </c>
      <c r="U10" s="116" t="s">
        <v>31</v>
      </c>
      <c r="V10" s="110" t="s">
        <v>32</v>
      </c>
      <c r="W10" s="110" t="s">
        <v>33</v>
      </c>
      <c r="X10" s="110" t="s">
        <v>34</v>
      </c>
      <c r="Y10" s="110" t="s">
        <v>35</v>
      </c>
      <c r="Z10" s="110" t="s">
        <v>36</v>
      </c>
      <c r="AA10" s="110" t="s">
        <v>37</v>
      </c>
      <c r="AB10" s="110" t="s">
        <v>38</v>
      </c>
      <c r="AC10" s="111" t="s">
        <v>39</v>
      </c>
      <c r="AD10" s="111"/>
      <c r="AE10" s="111"/>
      <c r="AF10" s="111"/>
      <c r="AG10" s="111"/>
      <c r="AH10" s="111"/>
      <c r="AI10" s="111"/>
      <c r="AJ10" s="16"/>
      <c r="AK10" s="16"/>
      <c r="AL10" s="16"/>
      <c r="AM10" s="16"/>
      <c r="AN10" s="16"/>
      <c r="AO10" s="16"/>
      <c r="AP10" s="16"/>
    </row>
    <row r="11" spans="1:42" ht="17.25" thickTop="1" thickBot="1" x14ac:dyDescent="0.3">
      <c r="A11" s="121">
        <v>1</v>
      </c>
      <c r="B11" s="89" t="s">
        <v>40</v>
      </c>
      <c r="C11" s="25">
        <f>IF(D11="","",VLOOKUP(B11,'VZ ändern'!$A$11:$C$46,3))</f>
        <v>0.17470000000000002</v>
      </c>
      <c r="D11" s="26" t="str">
        <f t="shared" ref="D11:D19" si="0">IF(B11="-","",B11)</f>
        <v>Babassu</v>
      </c>
      <c r="E11" s="86">
        <v>20</v>
      </c>
      <c r="F11" s="27" t="str">
        <f t="shared" ref="F11:F21" si="1">IF($E$10="Prozent","%","g")</f>
        <v>%</v>
      </c>
      <c r="G11" s="28">
        <f t="shared" ref="G11:G20" si="2">IF(D11="","",IF($G$10="Gramm",E11*$C$4/100,E11*100/$E$21))</f>
        <v>50</v>
      </c>
      <c r="H11" s="29" t="str">
        <f t="shared" ref="H11:H21" si="3">IF($G$10="Prozent","%","g")</f>
        <v>g</v>
      </c>
      <c r="I11" s="30">
        <f t="shared" ref="I11:I20" si="4">IF($I$10="NaOH",L11,IF($I$10="KOH",M11))</f>
        <v>7.4247500000000013</v>
      </c>
      <c r="J11" s="126">
        <f t="shared" ref="J11:J20" si="5">IF($J$10="KOH",M11,"")</f>
        <v>11.572710333333337</v>
      </c>
      <c r="K11" s="110">
        <f t="shared" ref="K11:K20" si="6">IF(G11="","",IF($G$10="Gramm",G11,E11))</f>
        <v>50</v>
      </c>
      <c r="L11" s="110">
        <f t="shared" ref="L11:L20" si="7">IF(G11="","",IF($C$7="",K11*C11*0.93,K11*C11-K11*C11*$C$7/100))</f>
        <v>7.4247500000000013</v>
      </c>
      <c r="M11" s="110">
        <f t="shared" ref="M11:M20" si="8">IF(G11="","",IF($C$8="",L11*1.4028,L11*1.4028/$C$8*100))</f>
        <v>11.572710333333337</v>
      </c>
      <c r="N11" s="110">
        <f t="shared" ref="N11:N20" si="9">IF(G11="",0,IF($G$10="Prozent",G11,E11))</f>
        <v>20</v>
      </c>
      <c r="O11" s="110">
        <f>IF(D11="",0,VLOOKUP(D11,'VZ ändern'!$A$11:$J$46,4))</f>
        <v>85</v>
      </c>
      <c r="P11" s="110">
        <f>IF(D11="",0,VLOOKUP(D11,'VZ ändern'!$A$11:$J$46,5))</f>
        <v>70</v>
      </c>
      <c r="Q11" s="110">
        <f>IF(D11="",0,VLOOKUP(D11,'VZ ändern'!$A$11:$J$46,6))</f>
        <v>10</v>
      </c>
      <c r="R11" s="110">
        <f>IF(D11="",0,VLOOKUP(D11,'VZ ändern'!$A$11:$J$46,7))</f>
        <v>70</v>
      </c>
      <c r="S11" s="110">
        <f>IF(D11="",0,VLOOKUP(D11,'VZ ändern'!$A$11:$J$46,8))</f>
        <v>15</v>
      </c>
      <c r="T11" s="110">
        <f>IF(D11="",0,VLOOKUP(D11,'VZ ändern'!$A$11:$J$46,10))</f>
        <v>15</v>
      </c>
      <c r="U11" s="110">
        <f>IF(D11="",0,VLOOKUP(D11,'VZ ändern'!$A$11:$J$46,9))</f>
        <v>230</v>
      </c>
      <c r="V11" s="110">
        <f>IF($D$11="",0,VLOOKUP($D$11,Tabelle6!$A$2:$I$37,2))</f>
        <v>50</v>
      </c>
      <c r="W11" s="110">
        <f>IF(D11="",0,VLOOKUP(D11,Tabelle6!$A$2:$I$37,3))</f>
        <v>20</v>
      </c>
      <c r="X11" s="110">
        <f>IF(D11="",0,VLOOKUP(D11,Tabelle6!$A$2:$I$37,4))</f>
        <v>11</v>
      </c>
      <c r="Y11" s="110">
        <f>IF(D11="",0,VLOOKUP(D11,Tabelle6!$A$2:$I$37,5))</f>
        <v>4</v>
      </c>
      <c r="Z11" s="110">
        <f>IF(D11="",0,VLOOKUP(D11,Tabelle6!$A$2:$I$37,6))</f>
        <v>0</v>
      </c>
      <c r="AA11" s="110">
        <f>IF(D11="",0,VLOOKUP(D11,Tabelle6!$A$2:$I$37,7))</f>
        <v>10</v>
      </c>
      <c r="AB11" s="110">
        <f>IF(D11="",0,VLOOKUP(D11,Tabelle6!$A$2:$I$37,8))</f>
        <v>0</v>
      </c>
      <c r="AC11" s="111">
        <f>IF(D11="",0,VLOOKUP(D11,Tabelle6!$A$2:$I$37,9))</f>
        <v>0</v>
      </c>
      <c r="AD11" s="111"/>
      <c r="AE11" s="111"/>
      <c r="AF11" s="111"/>
      <c r="AG11" s="111"/>
      <c r="AH11" s="111"/>
      <c r="AI11" s="111"/>
      <c r="AJ11" s="16"/>
      <c r="AK11" s="16"/>
      <c r="AL11" s="16"/>
      <c r="AM11" s="16"/>
      <c r="AN11" s="16"/>
      <c r="AO11" s="16"/>
      <c r="AP11" s="16"/>
    </row>
    <row r="12" spans="1:42" ht="17.25" thickTop="1" thickBot="1" x14ac:dyDescent="0.3">
      <c r="A12" s="127">
        <v>2</v>
      </c>
      <c r="B12" s="89" t="s">
        <v>41</v>
      </c>
      <c r="C12" s="25">
        <f>IF(D12="","",VLOOKUP(B12,'VZ ändern'!$A$11:$C$46,3))</f>
        <v>0.1832</v>
      </c>
      <c r="D12" s="31" t="str">
        <f t="shared" si="0"/>
        <v>Kokosöl</v>
      </c>
      <c r="E12" s="87">
        <v>20</v>
      </c>
      <c r="F12" s="32" t="str">
        <f t="shared" si="1"/>
        <v>%</v>
      </c>
      <c r="G12" s="33">
        <f t="shared" si="2"/>
        <v>50</v>
      </c>
      <c r="H12" s="34" t="str">
        <f t="shared" si="3"/>
        <v>g</v>
      </c>
      <c r="I12" s="35">
        <f t="shared" si="4"/>
        <v>7.7859999999999996</v>
      </c>
      <c r="J12" s="128">
        <f t="shared" si="5"/>
        <v>12.135778666666667</v>
      </c>
      <c r="K12" s="110">
        <f t="shared" si="6"/>
        <v>50</v>
      </c>
      <c r="L12" s="110">
        <f t="shared" si="7"/>
        <v>7.7859999999999996</v>
      </c>
      <c r="M12" s="110">
        <f t="shared" si="8"/>
        <v>12.135778666666667</v>
      </c>
      <c r="N12" s="110">
        <f t="shared" si="9"/>
        <v>20</v>
      </c>
      <c r="O12" s="110">
        <f>IF(D12="",0,VLOOKUP(D12,'VZ ändern'!$A$11:$J$46,4))</f>
        <v>79</v>
      </c>
      <c r="P12" s="110">
        <f>IF(D12="",0,VLOOKUP(D12,'VZ ändern'!$A$11:$J$46,5))</f>
        <v>67</v>
      </c>
      <c r="Q12" s="110">
        <f>IF(D12="",0,VLOOKUP(D12,'VZ ändern'!$A$11:$J$46,6))</f>
        <v>10</v>
      </c>
      <c r="R12" s="110">
        <f>IF(D12="",0,VLOOKUP(D12,'VZ ändern'!$A$11:$J$46,7))</f>
        <v>67</v>
      </c>
      <c r="S12" s="110">
        <f>IF(D12="",0,VLOOKUP(D12,'VZ ändern'!$A$11:$J$46,8))</f>
        <v>12</v>
      </c>
      <c r="T12" s="110">
        <f>IF(D12="",0,VLOOKUP(D12,'VZ ändern'!$A$11:$J$46,10))</f>
        <v>10</v>
      </c>
      <c r="U12" s="110">
        <f>IF(D12="",0,VLOOKUP(D12,'VZ ändern'!$A$11:$J$46,9))</f>
        <v>258</v>
      </c>
      <c r="V12" s="110">
        <f>IF(D12="",0,VLOOKUP(D12,Tabelle6!$A$2:$I$37,2))</f>
        <v>49</v>
      </c>
      <c r="W12" s="110">
        <f>IF(D12="",0,VLOOKUP(D12,Tabelle6!$A$2:$I$37,3))</f>
        <v>19</v>
      </c>
      <c r="X12" s="110">
        <f>IF(D12="",0,VLOOKUP(D12,Tabelle6!$A$2:$I$37,4))</f>
        <v>9</v>
      </c>
      <c r="Y12" s="110">
        <f>IF(D12="",0,VLOOKUP(D12,Tabelle6!$A$2:$I$37,5))</f>
        <v>3</v>
      </c>
      <c r="Z12" s="110">
        <f>IF(D12="",0,VLOOKUP(D12,Tabelle6!$A$2:$I$37,6))</f>
        <v>0</v>
      </c>
      <c r="AA12" s="110">
        <f>IF(D12="",0,VLOOKUP(D12,Tabelle6!$A$2:$I$37,7))</f>
        <v>8</v>
      </c>
      <c r="AB12" s="110">
        <f>IF(D12="",0,VLOOKUP(D12,Tabelle6!$A$2:$I$37,8))</f>
        <v>2</v>
      </c>
      <c r="AC12" s="111">
        <f>IF(D12="",0,VLOOKUP(D12,Tabelle6!$A$2:$I$37,9))</f>
        <v>0</v>
      </c>
      <c r="AD12" s="111"/>
      <c r="AE12" s="111"/>
      <c r="AF12" s="111"/>
      <c r="AG12" s="111"/>
      <c r="AH12" s="111"/>
      <c r="AI12" s="111"/>
      <c r="AJ12" s="16"/>
      <c r="AK12" s="16"/>
      <c r="AL12" s="16"/>
      <c r="AM12" s="16"/>
      <c r="AN12" s="16"/>
      <c r="AO12" s="16"/>
      <c r="AP12" s="16"/>
    </row>
    <row r="13" spans="1:42" ht="17.25" thickTop="1" thickBot="1" x14ac:dyDescent="0.3">
      <c r="A13" s="121">
        <v>3</v>
      </c>
      <c r="B13" s="89" t="s">
        <v>42</v>
      </c>
      <c r="C13" s="25">
        <f>IF(D13="","",VLOOKUP(B13,'VZ ändern'!$A$11:$C$46,3))</f>
        <v>0.13350000000000001</v>
      </c>
      <c r="D13" s="26" t="str">
        <f t="shared" si="0"/>
        <v>Avocadoöl</v>
      </c>
      <c r="E13" s="88">
        <v>40</v>
      </c>
      <c r="F13" s="27" t="str">
        <f t="shared" si="1"/>
        <v>%</v>
      </c>
      <c r="G13" s="28">
        <f t="shared" si="2"/>
        <v>100</v>
      </c>
      <c r="H13" s="29" t="str">
        <f t="shared" si="3"/>
        <v>g</v>
      </c>
      <c r="I13" s="30">
        <f t="shared" si="4"/>
        <v>11.3475</v>
      </c>
      <c r="J13" s="126">
        <f t="shared" si="5"/>
        <v>17.686970000000002</v>
      </c>
      <c r="K13" s="110">
        <f t="shared" si="6"/>
        <v>100</v>
      </c>
      <c r="L13" s="110">
        <f t="shared" si="7"/>
        <v>11.3475</v>
      </c>
      <c r="M13" s="110">
        <f t="shared" si="8"/>
        <v>17.686970000000002</v>
      </c>
      <c r="N13" s="110">
        <f t="shared" si="9"/>
        <v>40</v>
      </c>
      <c r="O13" s="110">
        <f>IF(D13="",0,VLOOKUP(D13,'VZ ändern'!$A$11:$J$46,4))</f>
        <v>22</v>
      </c>
      <c r="P13" s="110">
        <f>IF(D13="",0,VLOOKUP(D13,'VZ ändern'!$A$11:$J$46,5))</f>
        <v>0</v>
      </c>
      <c r="Q13" s="110">
        <f>IF(D13="",0,VLOOKUP(D13,'VZ ändern'!$A$11:$J$46,6))</f>
        <v>70</v>
      </c>
      <c r="R13" s="110">
        <f>IF(D13="",0,VLOOKUP(D13,'VZ ändern'!$A$11:$J$46,7))</f>
        <v>0</v>
      </c>
      <c r="S13" s="110">
        <f>IF(D13="",0,VLOOKUP(D13,'VZ ändern'!$A$11:$J$46,8))</f>
        <v>22</v>
      </c>
      <c r="T13" s="110">
        <f>IF(D13="",0,VLOOKUP(D13,'VZ ändern'!$A$11:$J$46,10))</f>
        <v>86</v>
      </c>
      <c r="U13" s="110">
        <f>IF(D13="",0,VLOOKUP(D13,'VZ ändern'!$A$11:$J$46,9))</f>
        <v>99</v>
      </c>
      <c r="V13" s="110">
        <f>IF(D13="",0,VLOOKUP(D13,Tabelle6!$A$2:$I$37,2))</f>
        <v>0</v>
      </c>
      <c r="W13" s="110">
        <f>IF(D13="",0,VLOOKUP(D13,Tabelle6!$A$2:$I$37,3))</f>
        <v>0</v>
      </c>
      <c r="X13" s="110">
        <f>IF(D13="",0,VLOOKUP(D13,Tabelle6!$A$2:$I$37,4))</f>
        <v>20</v>
      </c>
      <c r="Y13" s="110">
        <f>IF(D13="",0,VLOOKUP(D13,Tabelle6!$A$2:$I$37,5))</f>
        <v>2</v>
      </c>
      <c r="Z13" s="110">
        <f>IF(D13="",0,VLOOKUP(D13,Tabelle6!$A$2:$I$37,6))</f>
        <v>0</v>
      </c>
      <c r="AA13" s="110">
        <f>IF(D13="",0,VLOOKUP(D13,Tabelle6!$A$2:$I$37,7))</f>
        <v>58</v>
      </c>
      <c r="AB13" s="110">
        <f>IF(D13="",0,VLOOKUP(D13,Tabelle6!$A$2:$I$37,8))</f>
        <v>12</v>
      </c>
      <c r="AC13" s="111">
        <f>IF(D13="",0,VLOOKUP(D13,Tabelle6!$A$2:$I$37,9))</f>
        <v>0</v>
      </c>
      <c r="AD13" s="111"/>
      <c r="AE13" s="111"/>
      <c r="AF13" s="111"/>
      <c r="AG13" s="111"/>
      <c r="AH13" s="111"/>
      <c r="AI13" s="111"/>
      <c r="AJ13" s="16"/>
      <c r="AK13" s="16"/>
      <c r="AL13" s="16"/>
      <c r="AM13" s="16"/>
      <c r="AN13" s="16"/>
      <c r="AO13" s="16"/>
      <c r="AP13" s="16"/>
    </row>
    <row r="14" spans="1:42" ht="17.25" thickTop="1" thickBot="1" x14ac:dyDescent="0.3">
      <c r="A14" s="127">
        <v>4</v>
      </c>
      <c r="B14" s="89" t="s">
        <v>116</v>
      </c>
      <c r="C14" s="25">
        <f>IF(D14="","",VLOOKUP(B14,'VZ ändern'!$A$11:$C$46,3))</f>
        <v>0.13450000000000001</v>
      </c>
      <c r="D14" s="31" t="str">
        <f t="shared" si="0"/>
        <v>Olivenöl</v>
      </c>
      <c r="E14" s="87">
        <v>10</v>
      </c>
      <c r="F14" s="32" t="str">
        <f t="shared" si="1"/>
        <v>%</v>
      </c>
      <c r="G14" s="33">
        <f t="shared" si="2"/>
        <v>25</v>
      </c>
      <c r="H14" s="34" t="str">
        <f t="shared" si="3"/>
        <v>g</v>
      </c>
      <c r="I14" s="35">
        <f t="shared" si="4"/>
        <v>2.8581250000000002</v>
      </c>
      <c r="J14" s="128">
        <f t="shared" si="5"/>
        <v>4.4548641666666677</v>
      </c>
      <c r="K14" s="110">
        <f t="shared" si="6"/>
        <v>25</v>
      </c>
      <c r="L14" s="110">
        <f t="shared" si="7"/>
        <v>2.8581250000000002</v>
      </c>
      <c r="M14" s="110">
        <f t="shared" si="8"/>
        <v>4.4548641666666677</v>
      </c>
      <c r="N14" s="110">
        <f t="shared" si="9"/>
        <v>10</v>
      </c>
      <c r="O14" s="110">
        <f>IF(D14="",0,VLOOKUP(D14,'VZ ändern'!$A$11:$J$46,4))</f>
        <v>17</v>
      </c>
      <c r="P14" s="110">
        <f>IF(D14="",0,VLOOKUP(D14,'VZ ändern'!$A$11:$J$46,5))</f>
        <v>0</v>
      </c>
      <c r="Q14" s="110">
        <f>IF(D14="",0,VLOOKUP(D14,'VZ ändern'!$A$11:$J$46,6))</f>
        <v>82</v>
      </c>
      <c r="R14" s="110">
        <f>IF(D14="",0,VLOOKUP(D14,'VZ ändern'!$A$11:$J$46,7))</f>
        <v>0</v>
      </c>
      <c r="S14" s="110">
        <f>IF(D14="",0,VLOOKUP(D14,'VZ ändern'!$A$11:$J$46,8))</f>
        <v>17</v>
      </c>
      <c r="T14" s="110">
        <f>IF(D14="",0,VLOOKUP(D14,'VZ ändern'!$A$11:$J$46,10))</f>
        <v>85</v>
      </c>
      <c r="U14" s="110">
        <f>IF(D14="",0,VLOOKUP(D14,'VZ ändern'!$A$11:$J$46,9))</f>
        <v>105</v>
      </c>
      <c r="V14" s="110">
        <f>IF(D14="",0,VLOOKUP(D14,Tabelle6!$A$2:$I$37,2))</f>
        <v>0</v>
      </c>
      <c r="W14" s="110">
        <f>IF(D14="",0,VLOOKUP(D14,Tabelle6!$A$2:$I$37,3))</f>
        <v>0</v>
      </c>
      <c r="X14" s="110">
        <f>IF(D14="",0,VLOOKUP(D14,Tabelle6!$A$2:$I$37,4))</f>
        <v>14</v>
      </c>
      <c r="Y14" s="110">
        <f>IF(D14="",0,VLOOKUP(D14,Tabelle6!$A$2:$I$37,5))</f>
        <v>3</v>
      </c>
      <c r="Z14" s="110">
        <f>IF(D14="",0,VLOOKUP(D14,Tabelle6!$A$2:$I$37,6))</f>
        <v>0</v>
      </c>
      <c r="AA14" s="110">
        <f>IF(D14="",0,VLOOKUP(D14,Tabelle6!$A$2:$I$37,7))</f>
        <v>69</v>
      </c>
      <c r="AB14" s="110">
        <f>IF(D14="",0,VLOOKUP(D14,Tabelle6!$A$2:$I$37,8))</f>
        <v>12</v>
      </c>
      <c r="AC14" s="111">
        <f>IF(D14="",0,VLOOKUP(D14,Tabelle6!$A$2:$I$37,9))</f>
        <v>1</v>
      </c>
      <c r="AD14" s="111"/>
      <c r="AE14" s="111"/>
      <c r="AF14" s="111"/>
      <c r="AG14" s="111"/>
      <c r="AH14" s="111"/>
      <c r="AI14" s="111"/>
      <c r="AJ14" s="16"/>
      <c r="AK14" s="16"/>
      <c r="AL14" s="16"/>
      <c r="AM14" s="16"/>
      <c r="AN14" s="16"/>
      <c r="AO14" s="16"/>
      <c r="AP14" s="16"/>
    </row>
    <row r="15" spans="1:42" ht="17.25" thickTop="1" thickBot="1" x14ac:dyDescent="0.3">
      <c r="A15" s="121">
        <v>5</v>
      </c>
      <c r="B15" s="89" t="s">
        <v>33</v>
      </c>
      <c r="C15" s="25">
        <f>IF(D15="","",VLOOKUP(B15,'VZ ändern'!$A$11:$C$46,3))</f>
        <v>0.17599999999999999</v>
      </c>
      <c r="D15" s="26" t="str">
        <f t="shared" si="0"/>
        <v>Myristinsäure</v>
      </c>
      <c r="E15" s="88">
        <v>5</v>
      </c>
      <c r="F15" s="27" t="str">
        <f t="shared" si="1"/>
        <v>%</v>
      </c>
      <c r="G15" s="28">
        <f t="shared" si="2"/>
        <v>12.5</v>
      </c>
      <c r="H15" s="29" t="str">
        <f t="shared" si="3"/>
        <v>g</v>
      </c>
      <c r="I15" s="30">
        <f t="shared" si="4"/>
        <v>1.8699999999999999</v>
      </c>
      <c r="J15" s="126">
        <f t="shared" si="5"/>
        <v>2.9147066666666666</v>
      </c>
      <c r="K15" s="110">
        <f t="shared" si="6"/>
        <v>12.5</v>
      </c>
      <c r="L15" s="110">
        <f t="shared" si="7"/>
        <v>1.8699999999999999</v>
      </c>
      <c r="M15" s="110">
        <f t="shared" si="8"/>
        <v>2.9147066666666666</v>
      </c>
      <c r="N15" s="110">
        <f t="shared" si="9"/>
        <v>5</v>
      </c>
      <c r="O15" s="110">
        <f>IF(D15="",0,VLOOKUP(D15,'VZ ändern'!$A$11:$J$46,4))</f>
        <v>99</v>
      </c>
      <c r="P15" s="110">
        <f>IF(D15="",0,VLOOKUP(D15,'VZ ändern'!$A$11:$J$46,5))</f>
        <v>99</v>
      </c>
      <c r="Q15" s="110">
        <f>IF(D15="",0,VLOOKUP(D15,'VZ ändern'!$A$11:$J$46,6))</f>
        <v>0</v>
      </c>
      <c r="R15" s="110">
        <f>IF(D15="",0,VLOOKUP(D15,'VZ ändern'!$A$11:$J$46,7))</f>
        <v>99</v>
      </c>
      <c r="S15" s="110">
        <f>IF(D15="",0,VLOOKUP(D15,'VZ ändern'!$A$11:$J$46,8))</f>
        <v>0</v>
      </c>
      <c r="T15" s="110">
        <f>IF(D15="",0,VLOOKUP(D15,'VZ ändern'!$A$11:$J$46,10))</f>
        <v>1</v>
      </c>
      <c r="U15" s="110">
        <f>IF(D15="",0,VLOOKUP(D15,'VZ ändern'!$A$11:$J$46,9))</f>
        <v>246</v>
      </c>
      <c r="V15" s="110">
        <f>IF(D15="",0,VLOOKUP(D15,Tabelle6!$A$2:$I$37,2))</f>
        <v>0</v>
      </c>
      <c r="W15" s="110">
        <f>IF(D15="",0,VLOOKUP(D15,Tabelle6!$A$2:$I$37,3))</f>
        <v>99</v>
      </c>
      <c r="X15" s="110">
        <f>IF(D15="",0,VLOOKUP(D15,Tabelle6!$A$2:$I$37,4))</f>
        <v>0</v>
      </c>
      <c r="Y15" s="110">
        <f>IF(D15="",0,VLOOKUP(D15,Tabelle6!$A$2:$I$37,5))</f>
        <v>0</v>
      </c>
      <c r="Z15" s="110">
        <f>IF(D15="",0,VLOOKUP(D15,Tabelle6!$A$2:$I$37,6))</f>
        <v>0</v>
      </c>
      <c r="AA15" s="110">
        <f>IF(D15="",0,VLOOKUP(D15,Tabelle6!$A$2:$I$37,7))</f>
        <v>0</v>
      </c>
      <c r="AB15" s="110">
        <f>IF(D15="",0,VLOOKUP(D15,Tabelle6!$A$2:$I$37,8))</f>
        <v>0</v>
      </c>
      <c r="AC15" s="111">
        <f>IF(D15="",0,VLOOKUP(D15,Tabelle6!$A$2:$I$37,9))</f>
        <v>0</v>
      </c>
      <c r="AD15" s="111"/>
      <c r="AE15" s="111"/>
      <c r="AF15" s="111"/>
      <c r="AG15" s="111"/>
      <c r="AH15" s="111"/>
      <c r="AI15" s="111"/>
      <c r="AJ15" s="16"/>
      <c r="AK15" s="16"/>
      <c r="AL15" s="16"/>
      <c r="AM15" s="16"/>
      <c r="AN15" s="16"/>
      <c r="AO15" s="16"/>
      <c r="AP15" s="16"/>
    </row>
    <row r="16" spans="1:42" ht="17.25" thickTop="1" thickBot="1" x14ac:dyDescent="0.3">
      <c r="A16" s="127">
        <v>6</v>
      </c>
      <c r="B16" s="89" t="s">
        <v>43</v>
      </c>
      <c r="C16" s="25" t="str">
        <f>IF(D16="","",VLOOKUP(B16,'VZ ändern'!$A$11:$C$46,3))</f>
        <v/>
      </c>
      <c r="D16" s="31" t="str">
        <f t="shared" si="0"/>
        <v/>
      </c>
      <c r="E16" s="87"/>
      <c r="F16" s="32" t="str">
        <f t="shared" si="1"/>
        <v>%</v>
      </c>
      <c r="G16" s="33" t="str">
        <f t="shared" si="2"/>
        <v/>
      </c>
      <c r="H16" s="34" t="str">
        <f t="shared" si="3"/>
        <v>g</v>
      </c>
      <c r="I16" s="35" t="str">
        <f t="shared" si="4"/>
        <v/>
      </c>
      <c r="J16" s="128" t="str">
        <f t="shared" si="5"/>
        <v/>
      </c>
      <c r="K16" s="110" t="str">
        <f t="shared" si="6"/>
        <v/>
      </c>
      <c r="L16" s="110" t="str">
        <f t="shared" si="7"/>
        <v/>
      </c>
      <c r="M16" s="110" t="str">
        <f t="shared" si="8"/>
        <v/>
      </c>
      <c r="N16" s="110">
        <f t="shared" si="9"/>
        <v>0</v>
      </c>
      <c r="O16" s="110">
        <f>IF(D16="",0,VLOOKUP(D16,'VZ ändern'!$A$11:$J$46,4))</f>
        <v>0</v>
      </c>
      <c r="P16" s="110">
        <f>IF(D16="",0,VLOOKUP(D16,'VZ ändern'!$A$11:$J$46,5))</f>
        <v>0</v>
      </c>
      <c r="Q16" s="110">
        <f>IF(D16="",0,VLOOKUP(D16,'VZ ändern'!$A$11:$J$46,6))</f>
        <v>0</v>
      </c>
      <c r="R16" s="110">
        <f>IF(D16="",0,VLOOKUP(D16,'VZ ändern'!$A$11:$J$46,7))</f>
        <v>0</v>
      </c>
      <c r="S16" s="110">
        <f>IF(D16="",0,VLOOKUP(D16,'VZ ändern'!$A$11:$J$46,8))</f>
        <v>0</v>
      </c>
      <c r="T16" s="110">
        <f>IF(D16="",0,VLOOKUP(D16,'VZ ändern'!$A$11:$J$46,10))</f>
        <v>0</v>
      </c>
      <c r="U16" s="110">
        <f>IF(D16="",0,VLOOKUP(D16,'VZ ändern'!$A$11:$J$46,9))</f>
        <v>0</v>
      </c>
      <c r="V16" s="110">
        <f>IF(D16="",0,VLOOKUP(D16,Tabelle6!$A$2:$I$37,2))</f>
        <v>0</v>
      </c>
      <c r="W16" s="110">
        <f>IF(D16="",0,VLOOKUP(D16,Tabelle6!$A$2:$I$37,3))</f>
        <v>0</v>
      </c>
      <c r="X16" s="110">
        <f>IF(D16="",0,VLOOKUP(D16,Tabelle6!$A$2:$I$37,4))</f>
        <v>0</v>
      </c>
      <c r="Y16" s="110">
        <f>IF(D16="",0,VLOOKUP(D16,Tabelle6!$A$2:$I$37,5))</f>
        <v>0</v>
      </c>
      <c r="Z16" s="110">
        <f>IF(D16="",0,VLOOKUP(D16,Tabelle6!$A$2:$I$37,6))</f>
        <v>0</v>
      </c>
      <c r="AA16" s="110">
        <f>IF(D16="",0,VLOOKUP(D16,Tabelle6!$A$2:$I$37,7))</f>
        <v>0</v>
      </c>
      <c r="AB16" s="110">
        <f>IF(D16="",0,VLOOKUP(D16,Tabelle6!$A$2:$I$37,8))</f>
        <v>0</v>
      </c>
      <c r="AC16" s="111">
        <f>IF(D16="",0,VLOOKUP(D16,Tabelle6!$A$2:$I$37,9))</f>
        <v>0</v>
      </c>
      <c r="AD16" s="111"/>
      <c r="AE16" s="111"/>
      <c r="AF16" s="111"/>
      <c r="AG16" s="111"/>
      <c r="AH16" s="111"/>
      <c r="AI16" s="111"/>
      <c r="AJ16" s="16"/>
      <c r="AK16" s="16"/>
      <c r="AL16" s="16"/>
      <c r="AM16" s="16"/>
      <c r="AN16" s="16"/>
      <c r="AO16" s="16"/>
      <c r="AP16" s="16"/>
    </row>
    <row r="17" spans="1:42" ht="17.25" thickTop="1" thickBot="1" x14ac:dyDescent="0.3">
      <c r="A17" s="121">
        <v>7</v>
      </c>
      <c r="B17" s="89" t="s">
        <v>43</v>
      </c>
      <c r="C17" s="25" t="str">
        <f>IF(D17="","",VLOOKUP(B17,'VZ ändern'!$A$11:$C$46,3))</f>
        <v/>
      </c>
      <c r="D17" s="26" t="str">
        <f t="shared" si="0"/>
        <v/>
      </c>
      <c r="E17" s="88"/>
      <c r="F17" s="27" t="str">
        <f t="shared" si="1"/>
        <v>%</v>
      </c>
      <c r="G17" s="28" t="str">
        <f t="shared" si="2"/>
        <v/>
      </c>
      <c r="H17" s="29" t="str">
        <f t="shared" si="3"/>
        <v>g</v>
      </c>
      <c r="I17" s="30" t="str">
        <f t="shared" si="4"/>
        <v/>
      </c>
      <c r="J17" s="126" t="str">
        <f t="shared" si="5"/>
        <v/>
      </c>
      <c r="K17" s="110" t="str">
        <f t="shared" si="6"/>
        <v/>
      </c>
      <c r="L17" s="110" t="str">
        <f t="shared" si="7"/>
        <v/>
      </c>
      <c r="M17" s="110" t="str">
        <f t="shared" si="8"/>
        <v/>
      </c>
      <c r="N17" s="110">
        <f t="shared" si="9"/>
        <v>0</v>
      </c>
      <c r="O17" s="110">
        <f>IF(D17="",0,VLOOKUP(D17,'VZ ändern'!$A$11:$J$46,4))</f>
        <v>0</v>
      </c>
      <c r="P17" s="110">
        <f>IF(D17="",0,VLOOKUP(D17,'VZ ändern'!$A$11:$J$46,5))</f>
        <v>0</v>
      </c>
      <c r="Q17" s="110">
        <f>IF(D17="",0,VLOOKUP(D17,'VZ ändern'!$A$11:$J$46,6))</f>
        <v>0</v>
      </c>
      <c r="R17" s="110">
        <f>IF(D17="",0,VLOOKUP(D17,'VZ ändern'!$A$11:$J$46,7))</f>
        <v>0</v>
      </c>
      <c r="S17" s="110">
        <f>IF(D17="",0,VLOOKUP(D17,'VZ ändern'!$A$11:$J$46,8))</f>
        <v>0</v>
      </c>
      <c r="T17" s="110">
        <f>IF(D17="",0,VLOOKUP(D17,'VZ ändern'!$A$11:$J$46,10))</f>
        <v>0</v>
      </c>
      <c r="U17" s="110">
        <f>IF(D17="",0,VLOOKUP(D17,'VZ ändern'!$A$11:$J$46,9))</f>
        <v>0</v>
      </c>
      <c r="V17" s="110">
        <f>IF(D17="",0,VLOOKUP(D17,Tabelle6!$A$2:$I$37,2))</f>
        <v>0</v>
      </c>
      <c r="W17" s="110">
        <f>IF(D17="",0,VLOOKUP(D17,Tabelle6!$A$2:$I$37,3))</f>
        <v>0</v>
      </c>
      <c r="X17" s="110">
        <f>IF(D17="",0,VLOOKUP(D17,Tabelle6!$A$2:$I$37,4))</f>
        <v>0</v>
      </c>
      <c r="Y17" s="110">
        <f>IF(D17="",0,VLOOKUP(D17,Tabelle6!$A$2:$I$37,5))</f>
        <v>0</v>
      </c>
      <c r="Z17" s="110">
        <f>IF(D17="",0,VLOOKUP(D17,Tabelle6!$A$2:$I$37,6))</f>
        <v>0</v>
      </c>
      <c r="AA17" s="110">
        <f>IF(D17="",0,VLOOKUP(D17,Tabelle6!$A$2:$I$37,7))</f>
        <v>0</v>
      </c>
      <c r="AB17" s="110">
        <f>IF(D17="",0,VLOOKUP(D17,Tabelle6!$A$2:$I$37,8))</f>
        <v>0</v>
      </c>
      <c r="AC17" s="111">
        <f>IF(D17="",0,VLOOKUP(D17,Tabelle6!$A$2:$I$37,9))</f>
        <v>0</v>
      </c>
      <c r="AD17" s="111"/>
      <c r="AE17" s="111"/>
      <c r="AF17" s="111"/>
      <c r="AG17" s="111"/>
      <c r="AH17" s="111"/>
      <c r="AI17" s="111"/>
      <c r="AJ17" s="16"/>
      <c r="AK17" s="16"/>
      <c r="AL17" s="16"/>
      <c r="AM17" s="16"/>
      <c r="AN17" s="16"/>
      <c r="AO17" s="16"/>
      <c r="AP17" s="16"/>
    </row>
    <row r="18" spans="1:42" ht="17.25" thickTop="1" thickBot="1" x14ac:dyDescent="0.3">
      <c r="A18" s="127">
        <v>8</v>
      </c>
      <c r="B18" s="89" t="s">
        <v>43</v>
      </c>
      <c r="C18" s="25" t="str">
        <f>IF(D18="","",VLOOKUP(B18,'VZ ändern'!$A$11:$C$46,3))</f>
        <v/>
      </c>
      <c r="D18" s="31" t="str">
        <f t="shared" si="0"/>
        <v/>
      </c>
      <c r="E18" s="87"/>
      <c r="F18" s="32" t="str">
        <f t="shared" si="1"/>
        <v>%</v>
      </c>
      <c r="G18" s="33" t="str">
        <f t="shared" si="2"/>
        <v/>
      </c>
      <c r="H18" s="34" t="str">
        <f t="shared" si="3"/>
        <v>g</v>
      </c>
      <c r="I18" s="35" t="str">
        <f t="shared" si="4"/>
        <v/>
      </c>
      <c r="J18" s="128" t="str">
        <f t="shared" si="5"/>
        <v/>
      </c>
      <c r="K18" s="110" t="str">
        <f t="shared" si="6"/>
        <v/>
      </c>
      <c r="L18" s="110" t="str">
        <f t="shared" si="7"/>
        <v/>
      </c>
      <c r="M18" s="110" t="str">
        <f t="shared" si="8"/>
        <v/>
      </c>
      <c r="N18" s="110">
        <f t="shared" si="9"/>
        <v>0</v>
      </c>
      <c r="O18" s="110">
        <f>IF(D18="",0,VLOOKUP(D18,'VZ ändern'!$A$11:$J$46,4))</f>
        <v>0</v>
      </c>
      <c r="P18" s="110">
        <f>IF(D18="",0,VLOOKUP(D18,'VZ ändern'!$A$11:$J$46,5))</f>
        <v>0</v>
      </c>
      <c r="Q18" s="110">
        <f>IF(D18="",0,VLOOKUP(D18,'VZ ändern'!$A$11:$J$46,6))</f>
        <v>0</v>
      </c>
      <c r="R18" s="110">
        <f>IF(D18="",0,VLOOKUP(D18,'VZ ändern'!$A$11:$J$46,7))</f>
        <v>0</v>
      </c>
      <c r="S18" s="110">
        <f>IF(D18="",0,VLOOKUP(D18,'VZ ändern'!$A$11:$J$46,8))</f>
        <v>0</v>
      </c>
      <c r="T18" s="110">
        <f>IF(D18="",0,VLOOKUP(D18,'VZ ändern'!$A$11:$J$46,10))</f>
        <v>0</v>
      </c>
      <c r="U18" s="110">
        <f>IF(D18="",0,VLOOKUP(D18,'VZ ändern'!$A$11:$J$46,9))</f>
        <v>0</v>
      </c>
      <c r="V18" s="110">
        <f>IF(D18="",0,VLOOKUP(D18,Tabelle6!$A$2:$I$37,2))</f>
        <v>0</v>
      </c>
      <c r="W18" s="110">
        <f>IF(D18="",0,VLOOKUP(D18,Tabelle6!$A$2:$I$37,3))</f>
        <v>0</v>
      </c>
      <c r="X18" s="110">
        <f>IF(D18="",0,VLOOKUP(D18,Tabelle6!$A$2:$I$37,4))</f>
        <v>0</v>
      </c>
      <c r="Y18" s="110">
        <f>IF(D18="",0,VLOOKUP(D18,Tabelle6!$A$2:$I$37,5))</f>
        <v>0</v>
      </c>
      <c r="Z18" s="110">
        <f>IF(D18="",0,VLOOKUP(D18,Tabelle6!$A$2:$I$37,6))</f>
        <v>0</v>
      </c>
      <c r="AA18" s="110">
        <f>IF(D18="",0,VLOOKUP(D18,Tabelle6!$A$2:$I$37,7))</f>
        <v>0</v>
      </c>
      <c r="AB18" s="110">
        <f>IF(D18="",0,VLOOKUP(D18,Tabelle6!$A$2:$I$37,8))</f>
        <v>0</v>
      </c>
      <c r="AC18" s="111">
        <f>IF(D18="",0,VLOOKUP(D18,Tabelle6!$A$2:$I$37,9))</f>
        <v>0</v>
      </c>
      <c r="AD18" s="111"/>
      <c r="AE18" s="111"/>
      <c r="AF18" s="111"/>
      <c r="AG18" s="111"/>
      <c r="AH18" s="111"/>
      <c r="AI18" s="111"/>
      <c r="AJ18" s="16"/>
      <c r="AK18" s="16"/>
      <c r="AL18" s="16"/>
      <c r="AM18" s="16"/>
      <c r="AN18" s="16"/>
      <c r="AO18" s="16"/>
      <c r="AP18" s="16"/>
    </row>
    <row r="19" spans="1:42" ht="17.25" thickTop="1" thickBot="1" x14ac:dyDescent="0.3">
      <c r="A19" s="121">
        <v>9</v>
      </c>
      <c r="B19" s="89" t="s">
        <v>43</v>
      </c>
      <c r="C19" s="25" t="str">
        <f>IF(D19="","",VLOOKUP(B19,'VZ ändern'!$A$11:$C$46,3))</f>
        <v/>
      </c>
      <c r="D19" s="26" t="str">
        <f t="shared" si="0"/>
        <v/>
      </c>
      <c r="E19" s="88"/>
      <c r="F19" s="27" t="str">
        <f t="shared" si="1"/>
        <v>%</v>
      </c>
      <c r="G19" s="28" t="str">
        <f t="shared" si="2"/>
        <v/>
      </c>
      <c r="H19" s="29" t="str">
        <f t="shared" si="3"/>
        <v>g</v>
      </c>
      <c r="I19" s="30" t="str">
        <f t="shared" si="4"/>
        <v/>
      </c>
      <c r="J19" s="126" t="str">
        <f t="shared" si="5"/>
        <v/>
      </c>
      <c r="K19" s="110" t="str">
        <f t="shared" si="6"/>
        <v/>
      </c>
      <c r="L19" s="110" t="str">
        <f t="shared" si="7"/>
        <v/>
      </c>
      <c r="M19" s="110" t="str">
        <f t="shared" si="8"/>
        <v/>
      </c>
      <c r="N19" s="110">
        <f t="shared" si="9"/>
        <v>0</v>
      </c>
      <c r="O19" s="110">
        <f>IF(D19="",0,VLOOKUP(D19,'VZ ändern'!$A$11:$J$46,4))</f>
        <v>0</v>
      </c>
      <c r="P19" s="110">
        <f>IF(D19="",0,VLOOKUP(D19,'VZ ändern'!$A$11:$J$46,5))</f>
        <v>0</v>
      </c>
      <c r="Q19" s="110">
        <f>IF(D19="",0,VLOOKUP(D19,'VZ ändern'!$A$11:$J$46,6))</f>
        <v>0</v>
      </c>
      <c r="R19" s="110">
        <f>IF(D19="",0,VLOOKUP(D19,'VZ ändern'!$A$11:$J$46,7))</f>
        <v>0</v>
      </c>
      <c r="S19" s="110">
        <f>IF(D19="",0,VLOOKUP(D19,'VZ ändern'!$A$11:$J$46,8))</f>
        <v>0</v>
      </c>
      <c r="T19" s="110">
        <f>IF(D19="",0,VLOOKUP(D19,'VZ ändern'!$A$11:$J$46,10))</f>
        <v>0</v>
      </c>
      <c r="U19" s="110">
        <f>IF(D19="",0,VLOOKUP(D19,'VZ ändern'!$A$11:$J$46,9))</f>
        <v>0</v>
      </c>
      <c r="V19" s="110">
        <f>IF(D19="",0,VLOOKUP(D19,Tabelle6!$A$2:$I$37,2))</f>
        <v>0</v>
      </c>
      <c r="W19" s="110">
        <f>IF(D19="",0,VLOOKUP(D19,Tabelle6!$A$2:$I$37,3))</f>
        <v>0</v>
      </c>
      <c r="X19" s="110">
        <f>IF(D19="",0,VLOOKUP(D19,Tabelle6!$A$2:$I$37,4))</f>
        <v>0</v>
      </c>
      <c r="Y19" s="110">
        <f>IF(D19="",0,VLOOKUP(D19,Tabelle6!$A$2:$I$37,5))</f>
        <v>0</v>
      </c>
      <c r="Z19" s="110">
        <f>IF(D19="",0,VLOOKUP(D19,Tabelle6!$A$2:$I$37,6))</f>
        <v>0</v>
      </c>
      <c r="AA19" s="110">
        <f>IF(D19="",0,VLOOKUP(D19,Tabelle6!$A$2:$I$37,7))</f>
        <v>0</v>
      </c>
      <c r="AB19" s="110">
        <f>IF(D19="",0,VLOOKUP(D19,Tabelle6!$A$2:$I$37,8))</f>
        <v>0</v>
      </c>
      <c r="AC19" s="111">
        <f>IF(D19="",0,VLOOKUP(D19,Tabelle6!$A$2:$I$37,9))</f>
        <v>0</v>
      </c>
      <c r="AD19" s="111"/>
      <c r="AE19" s="111"/>
      <c r="AF19" s="111"/>
      <c r="AG19" s="111"/>
      <c r="AH19" s="111"/>
      <c r="AI19" s="111"/>
      <c r="AJ19" s="16"/>
      <c r="AK19" s="16"/>
      <c r="AL19" s="16"/>
      <c r="AM19" s="16"/>
      <c r="AN19" s="16"/>
      <c r="AO19" s="16"/>
      <c r="AP19" s="16"/>
    </row>
    <row r="20" spans="1:42" ht="17.25" thickTop="1" thickBot="1" x14ac:dyDescent="0.3">
      <c r="A20" s="127">
        <v>10</v>
      </c>
      <c r="B20" s="139" t="s">
        <v>170</v>
      </c>
      <c r="C20" s="108">
        <v>0.13</v>
      </c>
      <c r="D20" s="31" t="str">
        <f>IF(B20="","",B20)</f>
        <v>Weizenkeimöl</v>
      </c>
      <c r="E20" s="87">
        <v>5</v>
      </c>
      <c r="F20" s="32" t="str">
        <f t="shared" si="1"/>
        <v>%</v>
      </c>
      <c r="G20" s="33">
        <f t="shared" si="2"/>
        <v>12.5</v>
      </c>
      <c r="H20" s="34" t="str">
        <f t="shared" si="3"/>
        <v>g</v>
      </c>
      <c r="I20" s="35">
        <f t="shared" si="4"/>
        <v>1.3812500000000001</v>
      </c>
      <c r="J20" s="128">
        <f t="shared" si="5"/>
        <v>2.1529083333333334</v>
      </c>
      <c r="K20" s="110">
        <f t="shared" si="6"/>
        <v>12.5</v>
      </c>
      <c r="L20" s="110">
        <f t="shared" si="7"/>
        <v>1.3812500000000001</v>
      </c>
      <c r="M20" s="110">
        <f t="shared" si="8"/>
        <v>2.1529083333333334</v>
      </c>
      <c r="N20" s="110">
        <f t="shared" si="9"/>
        <v>5</v>
      </c>
      <c r="O20" s="110"/>
      <c r="P20" s="110"/>
      <c r="Q20" s="110"/>
      <c r="R20" s="110"/>
      <c r="S20" s="110"/>
      <c r="T20" s="110"/>
      <c r="U20" s="110"/>
      <c r="V20" s="110"/>
      <c r="W20" s="110"/>
      <c r="X20" s="110"/>
      <c r="Y20" s="110"/>
      <c r="Z20" s="110"/>
      <c r="AA20" s="110"/>
      <c r="AB20" s="110"/>
      <c r="AC20" s="112"/>
      <c r="AD20" s="111"/>
      <c r="AE20" s="111"/>
      <c r="AF20" s="111"/>
      <c r="AG20" s="111"/>
      <c r="AH20" s="111"/>
      <c r="AI20" s="111"/>
      <c r="AJ20" s="16"/>
      <c r="AK20" s="16"/>
      <c r="AL20" s="16"/>
      <c r="AM20" s="16"/>
      <c r="AN20" s="16"/>
      <c r="AO20" s="16"/>
      <c r="AP20" s="16"/>
    </row>
    <row r="21" spans="1:42" ht="15.2" customHeight="1" thickTop="1" thickBot="1" x14ac:dyDescent="0.3">
      <c r="A21" s="121"/>
      <c r="B21" s="2"/>
      <c r="C21" s="19"/>
      <c r="D21" s="36" t="s">
        <v>44</v>
      </c>
      <c r="E21" s="37">
        <f>SUM(E11:E20)</f>
        <v>100</v>
      </c>
      <c r="F21" s="38" t="str">
        <f t="shared" si="1"/>
        <v>%</v>
      </c>
      <c r="G21" s="37">
        <f>SUM(G11:G20)</f>
        <v>250</v>
      </c>
      <c r="H21" s="38" t="str">
        <f t="shared" si="3"/>
        <v>g</v>
      </c>
      <c r="I21" s="39">
        <f>IF($I$9="Mischverseifung",SUM(I11:I20)*E25/100,SUM(I11:I20))</f>
        <v>22.867337499999998</v>
      </c>
      <c r="J21" s="129">
        <f>IF($I$9="Mischverseifung",SUM(J11:J20)*E26/100,SUM(J11:J20))</f>
        <v>15.275381450000003</v>
      </c>
      <c r="K21" s="110">
        <f>SUM(K11:K20)</f>
        <v>250</v>
      </c>
      <c r="L21" s="110">
        <f>SUM(L11:L20)</f>
        <v>32.667625000000001</v>
      </c>
      <c r="M21" s="110">
        <f>SUM(M11:M20)</f>
        <v>50.917938166666673</v>
      </c>
      <c r="N21" s="110"/>
      <c r="O21" s="117">
        <f t="shared" ref="O21:U21" si="10">(O11*$N$11+O12*$N$12+O13*$N$13+O14*$N$14+O15*$N$15+O16*$N$16+O17*$N$17+O18*$N$18+O19*$N$19+O20*$N$20)/100</f>
        <v>48.25</v>
      </c>
      <c r="P21" s="117">
        <f t="shared" si="10"/>
        <v>32.35</v>
      </c>
      <c r="Q21" s="117">
        <f t="shared" si="10"/>
        <v>40.200000000000003</v>
      </c>
      <c r="R21" s="117">
        <f t="shared" si="10"/>
        <v>32.35</v>
      </c>
      <c r="S21" s="117">
        <f t="shared" si="10"/>
        <v>15.9</v>
      </c>
      <c r="T21" s="117">
        <f t="shared" si="10"/>
        <v>47.95</v>
      </c>
      <c r="U21" s="117">
        <f t="shared" si="10"/>
        <v>160</v>
      </c>
      <c r="V21" s="118">
        <f>(V11*N11+V12*N12+V13*N13+V14*N14+V15*N15+V16*N16+V17*N17+V18*N18+V19*N19+V20*N20)/100</f>
        <v>19.8</v>
      </c>
      <c r="W21" s="118">
        <f>(W11*N11+W12*N12+W13*N13+W14*N14+W15*N15+W16*N16+W17*N17+W18*N18+W19*N19+W20*N20)/100</f>
        <v>12.75</v>
      </c>
      <c r="X21" s="118">
        <f>(X11*N11+X12*N12+X13*N13+X14*N14+X15*N15+X16*N16+X17*N17+X18*N18+X19*N19+X20*N20)/100</f>
        <v>13.4</v>
      </c>
      <c r="Y21" s="118">
        <f>(Y11*N11+Y12*N12+Y13*N13+Y14*N14+Y15*N15+Y16*N16+Y17*N17+Y18*N18+Y19*N19+Y20*N20)/100</f>
        <v>2.5</v>
      </c>
      <c r="Z21" s="118">
        <f>(Z11*N11+Z12*N12+Z13*N13+Z14*N14+Z15*N15+Z16*N16+Z17*N17+Z18*N18+Z19*N19+Z20*N20)/100</f>
        <v>0</v>
      </c>
      <c r="AA21" s="118">
        <f>(AA11*N11+AA12*N12+AA13*N13+AA14*N14+AA15*N15+AA16*N16+AA17*N17+AA18*N18+AA19*N19+AA20*N20)/100</f>
        <v>33.700000000000003</v>
      </c>
      <c r="AB21" s="118">
        <f>(AB11*N11+AB12*N12+AB13*N13+AB14*N14+AB15*N15+AB16*N16+AB17*N17+AB18*N18+AB19*N19+AB20*N20)/100</f>
        <v>6.4</v>
      </c>
      <c r="AC21" s="113">
        <f>(AC11*N11+AC12*N12+AC13*N13+AC14*N14+AC15*N15+AC16*N16+AC17*N17+AC18*N18+AC19*N19+AC20*N20)/100</f>
        <v>0.1</v>
      </c>
      <c r="AD21" s="111"/>
      <c r="AE21" s="111"/>
      <c r="AF21" s="111"/>
      <c r="AG21" s="111"/>
      <c r="AH21" s="111"/>
      <c r="AI21" s="111"/>
      <c r="AJ21" s="16"/>
      <c r="AK21" s="16"/>
      <c r="AL21" s="16"/>
      <c r="AM21" s="16"/>
      <c r="AN21" s="16"/>
      <c r="AO21" s="16"/>
      <c r="AP21" s="16"/>
    </row>
    <row r="22" spans="1:42" ht="18.600000000000001" customHeight="1" thickTop="1" thickBot="1" x14ac:dyDescent="0.3">
      <c r="A22" s="121"/>
      <c r="B22" s="21" t="s">
        <v>45</v>
      </c>
      <c r="C22" s="19"/>
      <c r="D22" s="2"/>
      <c r="E22" s="40" t="str">
        <f>IF(OR(AND(E10="Prozent",E21=100),E10="Gramm"),"","Summe muss 100 ergeben!")</f>
        <v/>
      </c>
      <c r="F22" s="41"/>
      <c r="G22" s="2"/>
      <c r="H22" s="2"/>
      <c r="I22" s="2"/>
      <c r="J22" s="122"/>
      <c r="K22" s="110"/>
      <c r="L22" s="110"/>
      <c r="M22" s="110"/>
      <c r="N22" s="110"/>
      <c r="O22" s="110" t="s">
        <v>46</v>
      </c>
      <c r="P22" s="110" t="s">
        <v>47</v>
      </c>
      <c r="Q22" s="110" t="s">
        <v>48</v>
      </c>
      <c r="R22" s="110" t="s">
        <v>49</v>
      </c>
      <c r="S22" s="110" t="s">
        <v>50</v>
      </c>
      <c r="T22" s="110" t="s">
        <v>51</v>
      </c>
      <c r="U22" s="110" t="s">
        <v>52</v>
      </c>
      <c r="V22" s="110"/>
      <c r="W22" s="110"/>
      <c r="X22" s="110"/>
      <c r="Y22" s="110"/>
      <c r="Z22" s="110"/>
      <c r="AA22" s="110"/>
      <c r="AB22" s="110"/>
      <c r="AC22" s="111"/>
      <c r="AD22" s="111"/>
      <c r="AE22" s="111"/>
      <c r="AF22" s="111"/>
      <c r="AG22" s="111"/>
      <c r="AH22" s="111"/>
      <c r="AI22" s="111"/>
      <c r="AJ22" s="16"/>
      <c r="AK22" s="16"/>
      <c r="AL22" s="16"/>
      <c r="AM22" s="16"/>
      <c r="AN22" s="16"/>
      <c r="AO22" s="16"/>
      <c r="AP22" s="16"/>
    </row>
    <row r="23" spans="1:42" ht="19.350000000000001" customHeight="1" thickTop="1" thickBot="1" x14ac:dyDescent="0.3">
      <c r="A23" s="130"/>
      <c r="B23" s="131" t="s">
        <v>53</v>
      </c>
      <c r="C23" s="132">
        <f>'VZ ändern'!C49</f>
        <v>0.57100000000000006</v>
      </c>
      <c r="D23" s="133" t="str">
        <f>B23</f>
        <v>Zitronensäure</v>
      </c>
      <c r="E23" s="134"/>
      <c r="F23" s="135" t="s">
        <v>7</v>
      </c>
      <c r="G23" s="133" t="str">
        <f>IF(D23="-","",IF(E23="","",E23*K21/100))</f>
        <v/>
      </c>
      <c r="H23" s="136" t="s">
        <v>12</v>
      </c>
      <c r="I23" s="137">
        <f>IF($I$10="NaOH",L23,IF($I$10="KOH",M23))</f>
        <v>0</v>
      </c>
      <c r="J23" s="138"/>
      <c r="K23" s="110"/>
      <c r="L23" s="111">
        <f>IF(G23="",0,G23*C23)</f>
        <v>0</v>
      </c>
      <c r="M23" s="111">
        <f>IF(G23="",0,G23*C23*1.4028)</f>
        <v>0</v>
      </c>
      <c r="N23" s="111"/>
      <c r="O23" s="111"/>
      <c r="P23" s="111"/>
      <c r="Q23" s="111"/>
      <c r="R23" s="111"/>
      <c r="S23" s="111"/>
      <c r="T23" s="111"/>
      <c r="U23" s="111"/>
      <c r="V23" s="111"/>
      <c r="W23" s="111"/>
      <c r="X23" s="111"/>
      <c r="Y23" s="111"/>
      <c r="Z23" s="111"/>
      <c r="AA23" s="111"/>
      <c r="AB23" s="111"/>
      <c r="AC23" s="111"/>
      <c r="AD23" s="111"/>
      <c r="AE23" s="111"/>
      <c r="AF23" s="111"/>
      <c r="AG23" s="111"/>
      <c r="AH23" s="111"/>
      <c r="AI23" s="111"/>
      <c r="AJ23" s="16"/>
      <c r="AK23" s="16"/>
      <c r="AL23" s="16"/>
      <c r="AM23" s="16"/>
      <c r="AN23" s="16"/>
      <c r="AO23" s="16"/>
      <c r="AP23" s="16"/>
    </row>
    <row r="24" spans="1:42" ht="19.350000000000001" customHeight="1" thickBot="1" x14ac:dyDescent="0.25">
      <c r="A24" s="42"/>
      <c r="B24" s="2"/>
      <c r="C24" s="19"/>
      <c r="D24" s="2"/>
      <c r="E24" s="2"/>
      <c r="F24" s="2"/>
      <c r="G24" s="2"/>
      <c r="H24" s="2"/>
      <c r="I24" s="2"/>
      <c r="J24" s="43"/>
      <c r="K24" s="17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</row>
    <row r="25" spans="1:42" ht="20.100000000000001" customHeight="1" x14ac:dyDescent="0.25">
      <c r="A25" s="42"/>
      <c r="D25" s="2"/>
      <c r="E25" s="143">
        <f>IF(C6="NaOH/KOH",E6,"")</f>
        <v>70</v>
      </c>
      <c r="F25" s="144" t="str">
        <f t="shared" ref="F25:F26" si="11">IF(E25="","","%")</f>
        <v>%</v>
      </c>
      <c r="G25" s="144" t="str">
        <f>I10</f>
        <v>NaOH</v>
      </c>
      <c r="H25" s="144"/>
      <c r="I25" s="145">
        <f>IF(E10="Gramm",SUM(I21:I23),IF(AND(E21=100,E10="Prozent"),SUM(I21:I23),""))</f>
        <v>22.867337499999998</v>
      </c>
      <c r="J25" s="146" t="str">
        <f t="shared" ref="J25:J26" si="12">IF(I25="","","g")</f>
        <v>g</v>
      </c>
      <c r="K25" s="17"/>
      <c r="L25" s="18">
        <f>SUM(L21:L23)</f>
        <v>32.667625000000001</v>
      </c>
      <c r="M25" s="18">
        <f>SUM(M21:M23)</f>
        <v>50.917938166666673</v>
      </c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</row>
    <row r="26" spans="1:42" ht="20.85" customHeight="1" x14ac:dyDescent="0.25">
      <c r="A26" s="42"/>
      <c r="B26" s="8" t="s">
        <v>54</v>
      </c>
      <c r="C26" s="76" t="s">
        <v>55</v>
      </c>
      <c r="D26" s="2"/>
      <c r="E26" s="147">
        <f>IF(C6="NaOH/KOH",E7,"")</f>
        <v>30</v>
      </c>
      <c r="F26" s="148" t="str">
        <f t="shared" si="11"/>
        <v>%</v>
      </c>
      <c r="G26" s="148" t="str">
        <f>IF(J10="KOH","KOH","")</f>
        <v>KOH</v>
      </c>
      <c r="H26" s="148"/>
      <c r="I26" s="149">
        <f>IF(E10="Gramm",J21,IF(AND(E21=100,E10="Prozent",J10="KOH"),J21,""))</f>
        <v>15.275381450000003</v>
      </c>
      <c r="J26" s="150" t="str">
        <f t="shared" si="12"/>
        <v>g</v>
      </c>
      <c r="K26" s="17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</row>
    <row r="27" spans="1:42" x14ac:dyDescent="0.2">
      <c r="A27" s="42"/>
      <c r="B27" s="44" t="s">
        <v>56</v>
      </c>
      <c r="C27" s="77">
        <f>O21</f>
        <v>48.25</v>
      </c>
      <c r="D27" s="2"/>
      <c r="E27" s="151"/>
      <c r="F27" s="151"/>
      <c r="G27" s="151"/>
      <c r="H27" s="151"/>
      <c r="I27" s="151"/>
      <c r="J27" s="151"/>
      <c r="K27" s="15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</row>
    <row r="28" spans="1:42" x14ac:dyDescent="0.2">
      <c r="A28" s="42"/>
      <c r="B28" s="45" t="s">
        <v>57</v>
      </c>
      <c r="C28" s="78">
        <f>P21</f>
        <v>32.35</v>
      </c>
      <c r="D28" s="2"/>
      <c r="K28" s="15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</row>
    <row r="29" spans="1:42" x14ac:dyDescent="0.2">
      <c r="A29" s="42"/>
      <c r="B29" s="45" t="s">
        <v>58</v>
      </c>
      <c r="C29" s="78">
        <f>Q21</f>
        <v>40.200000000000003</v>
      </c>
      <c r="D29" s="2"/>
      <c r="K29" s="15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</row>
    <row r="30" spans="1:42" x14ac:dyDescent="0.2">
      <c r="A30" s="42"/>
      <c r="B30" s="45" t="s">
        <v>59</v>
      </c>
      <c r="C30" s="78">
        <f>R21</f>
        <v>32.35</v>
      </c>
      <c r="D30" s="2"/>
      <c r="K30" s="15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</row>
    <row r="31" spans="1:42" x14ac:dyDescent="0.2">
      <c r="A31" s="42"/>
      <c r="B31" s="45" t="s">
        <v>60</v>
      </c>
      <c r="C31" s="78">
        <f>S21</f>
        <v>15.9</v>
      </c>
      <c r="D31" s="2"/>
      <c r="K31" s="15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</row>
    <row r="32" spans="1:42" x14ac:dyDescent="0.2">
      <c r="A32" s="42"/>
      <c r="B32" s="45" t="s">
        <v>61</v>
      </c>
      <c r="C32" s="78">
        <f>T21</f>
        <v>47.95</v>
      </c>
      <c r="D32" s="2"/>
      <c r="K32" s="15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</row>
    <row r="33" spans="1:42" x14ac:dyDescent="0.2">
      <c r="A33" s="42"/>
      <c r="B33" s="46" t="s">
        <v>62</v>
      </c>
      <c r="C33" s="79">
        <f>U21</f>
        <v>160</v>
      </c>
      <c r="D33" s="2"/>
      <c r="K33" s="15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</row>
    <row r="34" spans="1:42" x14ac:dyDescent="0.2">
      <c r="A34" s="42"/>
      <c r="D34" s="2"/>
      <c r="K34" s="15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</row>
    <row r="35" spans="1:42" ht="15.75" x14ac:dyDescent="0.25">
      <c r="A35" s="2"/>
      <c r="B35" s="47" t="s">
        <v>63</v>
      </c>
      <c r="D35" s="2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</row>
    <row r="36" spans="1:42" x14ac:dyDescent="0.2">
      <c r="B36" s="48" t="s">
        <v>64</v>
      </c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</row>
    <row r="37" spans="1:42" x14ac:dyDescent="0.2">
      <c r="B37" s="48" t="s">
        <v>65</v>
      </c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</row>
    <row r="38" spans="1:42" x14ac:dyDescent="0.2">
      <c r="B38" s="48" t="s">
        <v>66</v>
      </c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</row>
    <row r="39" spans="1:42" ht="13.5" thickBot="1" x14ac:dyDescent="0.25"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</row>
    <row r="40" spans="1:42" x14ac:dyDescent="0.2">
      <c r="B40" s="100" t="s">
        <v>67</v>
      </c>
      <c r="C40" s="101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</row>
    <row r="41" spans="1:42" x14ac:dyDescent="0.2">
      <c r="B41" s="102" t="s">
        <v>68</v>
      </c>
      <c r="C41" s="103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</row>
    <row r="42" spans="1:42" x14ac:dyDescent="0.2">
      <c r="B42" s="102" t="s">
        <v>69</v>
      </c>
      <c r="C42" s="103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</row>
    <row r="43" spans="1:42" x14ac:dyDescent="0.2">
      <c r="B43" s="102" t="s">
        <v>70</v>
      </c>
      <c r="C43" s="103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</row>
    <row r="44" spans="1:42" x14ac:dyDescent="0.2">
      <c r="B44" s="102" t="s">
        <v>71</v>
      </c>
      <c r="C44" s="103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</row>
    <row r="45" spans="1:42" x14ac:dyDescent="0.2">
      <c r="B45" s="104" t="s">
        <v>167</v>
      </c>
      <c r="C45" s="105"/>
    </row>
    <row r="46" spans="1:42" x14ac:dyDescent="0.2">
      <c r="B46" s="104" t="s">
        <v>168</v>
      </c>
      <c r="C46" s="105"/>
    </row>
    <row r="47" spans="1:42" ht="13.5" thickBot="1" x14ac:dyDescent="0.25">
      <c r="B47" s="106" t="s">
        <v>169</v>
      </c>
      <c r="C47" s="107"/>
    </row>
    <row r="50" spans="2:2" x14ac:dyDescent="0.2">
      <c r="B50"/>
    </row>
    <row r="51" spans="2:2" ht="15" x14ac:dyDescent="0.2">
      <c r="B51" s="56"/>
    </row>
    <row r="52" spans="2:2" x14ac:dyDescent="0.2">
      <c r="B52" s="206" t="s">
        <v>43</v>
      </c>
    </row>
    <row r="53" spans="2:2" ht="15" x14ac:dyDescent="0.2">
      <c r="B53" s="207" t="s">
        <v>87</v>
      </c>
    </row>
    <row r="54" spans="2:2" ht="15" x14ac:dyDescent="0.2">
      <c r="B54" s="207" t="s">
        <v>89</v>
      </c>
    </row>
    <row r="55" spans="2:2" ht="15" x14ac:dyDescent="0.2">
      <c r="B55" s="207" t="s">
        <v>42</v>
      </c>
    </row>
    <row r="56" spans="2:2" ht="15" x14ac:dyDescent="0.2">
      <c r="B56" s="207" t="s">
        <v>40</v>
      </c>
    </row>
    <row r="57" spans="2:2" ht="15" x14ac:dyDescent="0.2">
      <c r="B57" s="207" t="s">
        <v>92</v>
      </c>
    </row>
    <row r="58" spans="2:2" ht="15" x14ac:dyDescent="0.2">
      <c r="B58" s="207" t="s">
        <v>163</v>
      </c>
    </row>
    <row r="59" spans="2:2" ht="15" x14ac:dyDescent="0.2">
      <c r="B59" s="207" t="s">
        <v>96</v>
      </c>
    </row>
    <row r="60" spans="2:2" ht="15" x14ac:dyDescent="0.2">
      <c r="B60" s="207" t="s">
        <v>98</v>
      </c>
    </row>
    <row r="61" spans="2:2" ht="15" x14ac:dyDescent="0.2">
      <c r="B61" s="207" t="s">
        <v>100</v>
      </c>
    </row>
    <row r="62" spans="2:2" ht="15" x14ac:dyDescent="0.2">
      <c r="B62" s="207" t="s">
        <v>41</v>
      </c>
    </row>
    <row r="63" spans="2:2" ht="15" x14ac:dyDescent="0.2">
      <c r="B63" s="207" t="s">
        <v>103</v>
      </c>
    </row>
    <row r="64" spans="2:2" ht="15" x14ac:dyDescent="0.2">
      <c r="B64" s="207" t="s">
        <v>105</v>
      </c>
    </row>
    <row r="65" spans="2:2" ht="15" x14ac:dyDescent="0.2">
      <c r="B65" s="207" t="s">
        <v>107</v>
      </c>
    </row>
    <row r="66" spans="2:2" ht="15" x14ac:dyDescent="0.2">
      <c r="B66" s="207" t="s">
        <v>109</v>
      </c>
    </row>
    <row r="67" spans="2:2" ht="15" x14ac:dyDescent="0.2">
      <c r="B67" s="207" t="s">
        <v>111</v>
      </c>
    </row>
    <row r="68" spans="2:2" ht="15" x14ac:dyDescent="0.2">
      <c r="B68" s="207" t="s">
        <v>113</v>
      </c>
    </row>
    <row r="69" spans="2:2" ht="15" x14ac:dyDescent="0.2">
      <c r="B69" s="207" t="s">
        <v>33</v>
      </c>
    </row>
    <row r="70" spans="2:2" ht="15" x14ac:dyDescent="0.2">
      <c r="B70" s="207" t="s">
        <v>116</v>
      </c>
    </row>
    <row r="71" spans="2:2" ht="15" x14ac:dyDescent="0.2">
      <c r="B71" s="207" t="s">
        <v>118</v>
      </c>
    </row>
    <row r="72" spans="2:2" ht="15" x14ac:dyDescent="0.2">
      <c r="B72" s="207" t="s">
        <v>120</v>
      </c>
    </row>
    <row r="73" spans="2:2" ht="15" x14ac:dyDescent="0.2">
      <c r="B73" s="207" t="s">
        <v>122</v>
      </c>
    </row>
    <row r="74" spans="2:2" ht="15" x14ac:dyDescent="0.2">
      <c r="B74" s="207" t="s">
        <v>124</v>
      </c>
    </row>
    <row r="75" spans="2:2" ht="15" x14ac:dyDescent="0.2">
      <c r="B75" s="207" t="s">
        <v>126</v>
      </c>
    </row>
    <row r="76" spans="2:2" ht="15" x14ac:dyDescent="0.2">
      <c r="B76" s="207" t="s">
        <v>128</v>
      </c>
    </row>
    <row r="77" spans="2:2" ht="15" x14ac:dyDescent="0.2">
      <c r="B77" s="207" t="s">
        <v>130</v>
      </c>
    </row>
    <row r="78" spans="2:2" ht="15" x14ac:dyDescent="0.2">
      <c r="B78" s="207" t="s">
        <v>132</v>
      </c>
    </row>
    <row r="79" spans="2:2" ht="15" x14ac:dyDescent="0.2">
      <c r="B79" s="207" t="s">
        <v>134</v>
      </c>
    </row>
    <row r="80" spans="2:2" ht="15" x14ac:dyDescent="0.2">
      <c r="B80" s="207" t="s">
        <v>136</v>
      </c>
    </row>
    <row r="81" spans="2:2" ht="15" x14ac:dyDescent="0.2">
      <c r="B81" s="207" t="s">
        <v>138</v>
      </c>
    </row>
    <row r="82" spans="2:2" ht="15" x14ac:dyDescent="0.2">
      <c r="B82" s="207" t="s">
        <v>140</v>
      </c>
    </row>
    <row r="83" spans="2:2" ht="15" x14ac:dyDescent="0.2">
      <c r="B83" s="207" t="s">
        <v>142</v>
      </c>
    </row>
    <row r="84" spans="2:2" ht="15" x14ac:dyDescent="0.2">
      <c r="B84" s="207" t="s">
        <v>165</v>
      </c>
    </row>
    <row r="85" spans="2:2" ht="15" x14ac:dyDescent="0.2">
      <c r="B85" s="207" t="s">
        <v>35</v>
      </c>
    </row>
    <row r="86" spans="2:2" ht="15" x14ac:dyDescent="0.2">
      <c r="B86" s="207" t="s">
        <v>148</v>
      </c>
    </row>
    <row r="87" spans="2:2" ht="15" x14ac:dyDescent="0.2">
      <c r="B87" s="207" t="s">
        <v>150</v>
      </c>
    </row>
    <row r="88" spans="2:2" ht="15" x14ac:dyDescent="0.2">
      <c r="B88" s="208" t="s">
        <v>152</v>
      </c>
    </row>
    <row r="89" spans="2:2" x14ac:dyDescent="0.2">
      <c r="B89" s="209" t="s">
        <v>43</v>
      </c>
    </row>
    <row r="90" spans="2:2" ht="15" x14ac:dyDescent="0.2">
      <c r="B90" s="207"/>
    </row>
    <row r="91" spans="2:2" ht="15" x14ac:dyDescent="0.2">
      <c r="B91" s="56"/>
    </row>
    <row r="92" spans="2:2" ht="15" x14ac:dyDescent="0.2">
      <c r="B92" s="56"/>
    </row>
    <row r="93" spans="2:2" ht="15" x14ac:dyDescent="0.2">
      <c r="B93" s="56"/>
    </row>
    <row r="94" spans="2:2" ht="15" x14ac:dyDescent="0.2">
      <c r="B94" s="64"/>
    </row>
    <row r="95" spans="2:2" x14ac:dyDescent="0.2">
      <c r="B95" s="68"/>
    </row>
  </sheetData>
  <sheetProtection password="EDD5" sheet="1" objects="1" scenarios="1"/>
  <mergeCells count="3">
    <mergeCell ref="C1:J1"/>
    <mergeCell ref="G3:I3"/>
    <mergeCell ref="G5:I5"/>
  </mergeCells>
  <conditionalFormatting sqref="B38">
    <cfRule type="cellIs" dxfId="17" priority="50" stopIfTrue="1" operator="equal">
      <formula>"nicht im Referenzbereich"</formula>
    </cfRule>
  </conditionalFormatting>
  <conditionalFormatting sqref="B36">
    <cfRule type="cellIs" dxfId="16" priority="51" stopIfTrue="1" operator="equal">
      <formula>"im Referenzbereich"</formula>
    </cfRule>
  </conditionalFormatting>
  <conditionalFormatting sqref="B37">
    <cfRule type="cellIs" dxfId="15" priority="52" stopIfTrue="1" operator="equal">
      <formula>"nah am Referenzbereich (+/- 4)"</formula>
    </cfRule>
  </conditionalFormatting>
  <conditionalFormatting sqref="C27">
    <cfRule type="cellIs" dxfId="14" priority="14" operator="notBetween">
      <formula>25</formula>
      <formula>58</formula>
    </cfRule>
    <cfRule type="cellIs" dxfId="13" priority="15" operator="between">
      <formula>29</formula>
      <formula>54</formula>
    </cfRule>
  </conditionalFormatting>
  <conditionalFormatting sqref="C28">
    <cfRule type="cellIs" dxfId="12" priority="12" operator="notBetween">
      <formula>8</formula>
      <formula>26</formula>
    </cfRule>
    <cfRule type="cellIs" dxfId="11" priority="13" operator="between">
      <formula>12</formula>
      <formula>22</formula>
    </cfRule>
  </conditionalFormatting>
  <conditionalFormatting sqref="C29">
    <cfRule type="cellIs" dxfId="10" priority="10" operator="notBetween">
      <formula>40</formula>
      <formula>73</formula>
    </cfRule>
    <cfRule type="cellIs" dxfId="9" priority="11" operator="between">
      <formula>44</formula>
      <formula>69</formula>
    </cfRule>
  </conditionalFormatting>
  <conditionalFormatting sqref="C30">
    <cfRule type="cellIs" dxfId="8" priority="8" operator="notBetween">
      <formula>10</formula>
      <formula>50</formula>
    </cfRule>
    <cfRule type="cellIs" dxfId="7" priority="9" operator="between">
      <formula>14</formula>
      <formula>46</formula>
    </cfRule>
  </conditionalFormatting>
  <conditionalFormatting sqref="C31">
    <cfRule type="cellIs" dxfId="6" priority="1" operator="notBetween">
      <formula>12</formula>
      <formula>52</formula>
    </cfRule>
    <cfRule type="cellIs" dxfId="5" priority="2" operator="between">
      <formula>16</formula>
      <formula>48</formula>
    </cfRule>
    <cfRule type="cellIs" dxfId="4" priority="7" operator="notBetween">
      <formula>12</formula>
      <formula>52</formula>
    </cfRule>
  </conditionalFormatting>
  <conditionalFormatting sqref="C32">
    <cfRule type="cellIs" dxfId="3" priority="5" operator="notBetween">
      <formula>37</formula>
      <formula>74</formula>
    </cfRule>
    <cfRule type="cellIs" dxfId="2" priority="6" operator="between">
      <formula>41</formula>
      <formula>70</formula>
    </cfRule>
  </conditionalFormatting>
  <conditionalFormatting sqref="C33">
    <cfRule type="cellIs" dxfId="1" priority="3" operator="notBetween">
      <formula>132</formula>
      <formula>169</formula>
    </cfRule>
    <cfRule type="cellIs" dxfId="0" priority="4" operator="between">
      <formula>136</formula>
      <formula>165</formula>
    </cfRule>
  </conditionalFormatting>
  <dataValidations count="6">
    <dataValidation type="list" operator="equal" allowBlank="1" showErrorMessage="1" sqref="E2">
      <formula1>"CP,OHP,MWHP,"</formula1>
      <formula2>0</formula2>
    </dataValidation>
    <dataValidation type="list" operator="equal" allowBlank="1" showErrorMessage="1" sqref="C3">
      <formula1>"Prozent,Gramm"</formula1>
      <formula2>0</formula2>
    </dataValidation>
    <dataValidation type="list" operator="equal" showErrorMessage="1" errorTitle="Fehler" error="Bitte Eintrag aus der Liste wählen." sqref="J5">
      <formula1>"Wasser,Milch,Kokosmilch,Tee,Kaffee,Schafmilch,Ziegenmilch,Bier,Karottensaft,Kräuterauszug,"</formula1>
    </dataValidation>
    <dataValidation type="list" operator="equal" showErrorMessage="1" errorTitle="Fehler" error="Bitte einen Eintrag aus der Liste wählen." sqref="C6">
      <formula1>"NaOH,KOH,NaOH/KOH"</formula1>
      <formula2>0</formula2>
    </dataValidation>
    <dataValidation type="list" operator="equal" allowBlank="1" showErrorMessage="1" sqref="B23">
      <formula1>"-,Zitronensäure,-"</formula1>
      <formula2>0</formula2>
    </dataValidation>
    <dataValidation type="list" allowBlank="1" showInputMessage="1" showErrorMessage="1" sqref="B19 B11 B12 B13 B14 B15 B16 B17 B18">
      <formula1>$B$52:$B$89</formula1>
    </dataValidation>
  </dataValidations>
  <hyperlinks>
    <hyperlink ref="B42" r:id="rId1" display="info@seifenteufel.de"/>
  </hyperlinks>
  <pageMargins left="0.78749999999999998" right="0.78749999999999998" top="1.0249999999999999" bottom="1.0249999999999999" header="0.78749999999999998" footer="0.78749999999999998"/>
  <pageSetup paperSize="9" firstPageNumber="0" orientation="portrait" horizontalDpi="300" verticalDpi="300" r:id="rId2"/>
  <headerFooter alignWithMargins="0">
    <oddHeader>&amp;C&amp;A</oddHeader>
    <oddFooter>&amp;CSeite &amp;P</oddFooter>
  </headerFooter>
  <drawing r:id="rId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operator="equal" allowBlank="1" showErrorMessage="1">
          <x14:formula1>
            <xm:f>'VZ ändern'!$A$10:$A$47</xm:f>
          </x14:formula1>
          <xm:sqref>B11</xm:sqref>
        </x14:dataValidation>
        <x14:dataValidation type="list" operator="equal" allowBlank="1" showErrorMessage="1">
          <x14:formula1>
            <xm:f>'VZ ändern'!$A$10:$A$47</xm:f>
          </x14:formula1>
          <xm:sqref>B12</xm:sqref>
        </x14:dataValidation>
        <x14:dataValidation type="list" allowBlank="1" showInputMessage="1" showErrorMessage="1">
          <x14:formula1>
            <xm:f>'VZ ändern'!$A$10:$A$47</xm:f>
          </x14:formula1>
          <xm:sqref>B13:B19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4"/>
  </sheetPr>
  <dimension ref="A1:J56"/>
  <sheetViews>
    <sheetView tabSelected="1" topLeftCell="A28" zoomScale="80" zoomScaleNormal="80" workbookViewId="0">
      <selection activeCell="E39" sqref="E39"/>
    </sheetView>
  </sheetViews>
  <sheetFormatPr baseColWidth="10" defaultColWidth="11.5703125" defaultRowHeight="9.9499999999999993" customHeight="1" x14ac:dyDescent="0.2"/>
  <cols>
    <col min="1" max="1" width="3.5703125" style="1" customWidth="1"/>
    <col min="2" max="2" width="22.28515625" style="1" customWidth="1"/>
    <col min="3" max="3" width="36.85546875" style="1" customWidth="1"/>
    <col min="4" max="4" width="6.28515625" style="1" customWidth="1"/>
    <col min="5" max="5" width="14.7109375" style="1" customWidth="1"/>
    <col min="6" max="6" width="4.140625" style="1" customWidth="1"/>
    <col min="7" max="16384" width="11.5703125" style="1"/>
  </cols>
  <sheetData>
    <row r="1" spans="1:10" ht="18" x14ac:dyDescent="0.25">
      <c r="A1" s="96"/>
      <c r="B1" s="97" t="s">
        <v>0</v>
      </c>
      <c r="C1" s="98" t="str">
        <f>Rezepteingabe!C1</f>
        <v>Testseife</v>
      </c>
      <c r="D1" s="97"/>
      <c r="E1" s="97"/>
      <c r="F1" s="99"/>
      <c r="J1" s="109"/>
    </row>
    <row r="2" spans="1:10" ht="12.75" x14ac:dyDescent="0.2">
      <c r="A2" s="152"/>
      <c r="B2" s="153" t="s">
        <v>72</v>
      </c>
      <c r="C2" s="154">
        <f>Rezepteingabe!C2</f>
        <v>42530</v>
      </c>
      <c r="D2" s="153"/>
      <c r="E2" s="155"/>
      <c r="F2" s="156"/>
    </row>
    <row r="3" spans="1:10" ht="12.75" x14ac:dyDescent="0.2">
      <c r="A3" s="152"/>
      <c r="B3" s="157" t="s">
        <v>73</v>
      </c>
      <c r="C3" s="158">
        <f>IF(Rezepteingabe!C7="","7",Rezepteingabe!C7)</f>
        <v>15</v>
      </c>
      <c r="D3" s="153"/>
      <c r="E3" s="159"/>
      <c r="F3" s="160"/>
    </row>
    <row r="4" spans="1:10" ht="12.75" x14ac:dyDescent="0.2">
      <c r="A4" s="152"/>
      <c r="B4" s="157" t="s">
        <v>74</v>
      </c>
      <c r="C4" s="161" t="str">
        <f>Rezepteingabe!C6&amp;"                   "&amp;"Herstellungsart:"&amp;"   "&amp;Rezepteingabe!E2</f>
        <v>NaOH/KOH                   Herstellungsart:   OHP</v>
      </c>
      <c r="D4" s="153"/>
      <c r="E4" s="159"/>
      <c r="F4" s="160"/>
    </row>
    <row r="5" spans="1:10" ht="12.75" x14ac:dyDescent="0.2">
      <c r="A5" s="152"/>
      <c r="B5" s="157"/>
      <c r="C5" s="153" t="s">
        <v>75</v>
      </c>
      <c r="D5" s="153"/>
      <c r="E5" s="162">
        <f>Rezepteingabe!K21</f>
        <v>250</v>
      </c>
      <c r="F5" s="160"/>
    </row>
    <row r="6" spans="1:10" ht="12.75" x14ac:dyDescent="0.2">
      <c r="A6" s="152"/>
      <c r="B6" s="157"/>
      <c r="C6" s="153" t="s">
        <v>76</v>
      </c>
      <c r="D6" s="153"/>
      <c r="E6" s="162">
        <f>SUM(E8:E14,E17:E25,E27:E33)</f>
        <v>370.64271895000002</v>
      </c>
      <c r="F6" s="160"/>
    </row>
    <row r="7" spans="1:10" s="48" customFormat="1" ht="12.75" x14ac:dyDescent="0.2">
      <c r="A7" s="192"/>
      <c r="B7" s="199" t="s">
        <v>166</v>
      </c>
      <c r="C7" s="198" t="s">
        <v>77</v>
      </c>
      <c r="D7" s="200" t="s">
        <v>7</v>
      </c>
      <c r="E7" s="196" t="s">
        <v>23</v>
      </c>
      <c r="F7" s="197"/>
    </row>
    <row r="8" spans="1:10" ht="12.75" x14ac:dyDescent="0.2">
      <c r="A8" s="163"/>
      <c r="B8" s="49" t="str">
        <f>Rezepteingabe!J5</f>
        <v>Wasser</v>
      </c>
      <c r="C8" s="49" t="str">
        <f>IF(B8="Ziegenmilch","Goat milk",IF(B8="Schafmilch","Sheep milk",IF(B8="Bier","bear","Aqua")))</f>
        <v>Aqua</v>
      </c>
      <c r="D8" s="49">
        <f>Rezepteingabe!C5</f>
        <v>35</v>
      </c>
      <c r="E8" s="165">
        <f>Rezepteingabe!E5</f>
        <v>87.5</v>
      </c>
      <c r="F8" s="164"/>
    </row>
    <row r="9" spans="1:10" ht="12.75" x14ac:dyDescent="0.2">
      <c r="A9" s="163"/>
      <c r="B9" s="49" t="str">
        <f>IF(E9="","",Rezepteingabe!D23)</f>
        <v/>
      </c>
      <c r="C9" s="49" t="str">
        <f>IF(B9="Zitronensäure","Sodium Citrat","")</f>
        <v/>
      </c>
      <c r="D9" s="49" t="str">
        <f>IF(Rezepteingabe!E23=0,"",Rezepteingabe!E23)</f>
        <v/>
      </c>
      <c r="E9" s="165" t="str">
        <f>Rezepteingabe!G23</f>
        <v/>
      </c>
      <c r="F9" s="164"/>
    </row>
    <row r="10" spans="1:10" ht="12.75" x14ac:dyDescent="0.2">
      <c r="A10" s="163"/>
      <c r="B10" s="49" t="s">
        <v>16</v>
      </c>
      <c r="C10" s="49" t="s">
        <v>78</v>
      </c>
      <c r="D10" s="49">
        <f>IF(Rezepteingabe!C6="NaOH",100,IF(Rezepteingabe!C6="KOH","",Rezepteingabe!E6))</f>
        <v>70</v>
      </c>
      <c r="E10" s="165">
        <f>IF(D10="","",D10*Rezepteingabe!L21/100+Rezepteingabe!L23)</f>
        <v>22.867337499999998</v>
      </c>
      <c r="F10" s="164"/>
    </row>
    <row r="11" spans="1:10" ht="12.75" x14ac:dyDescent="0.2">
      <c r="A11" s="163"/>
      <c r="B11" s="49" t="str">
        <f>IF(E11="","","KOH")</f>
        <v>KOH</v>
      </c>
      <c r="C11" s="49" t="str">
        <f>IF(E11="","","Potassium Hydroxide")</f>
        <v>Potassium Hydroxide</v>
      </c>
      <c r="D11" s="49">
        <f>IF(Rezepteingabe!C6="KOH",100,IF(Rezepteingabe!C6="NaOH","",Rezepteingabe!E7))</f>
        <v>30</v>
      </c>
      <c r="E11" s="165">
        <f>IF(D11="","",IF(D11=100,Rezepteingabe!I25,D11*Rezepteingabe!M21/100))</f>
        <v>15.275381450000003</v>
      </c>
      <c r="F11" s="164"/>
    </row>
    <row r="12" spans="1:10" ht="12.75" x14ac:dyDescent="0.2">
      <c r="A12" s="163"/>
      <c r="B12" s="49" t="s">
        <v>79</v>
      </c>
      <c r="C12" s="201"/>
      <c r="D12" s="49">
        <f>Rezepteingabe!E3</f>
        <v>3</v>
      </c>
      <c r="E12" s="165">
        <f>Rezepteingabe!J3</f>
        <v>7.5</v>
      </c>
      <c r="F12" s="164"/>
    </row>
    <row r="13" spans="1:10" ht="12.75" x14ac:dyDescent="0.2">
      <c r="A13" s="163"/>
      <c r="B13" s="49"/>
      <c r="C13" s="49"/>
      <c r="D13" s="49"/>
      <c r="E13" s="165"/>
      <c r="F13" s="164"/>
    </row>
    <row r="14" spans="1:10" ht="12.75" x14ac:dyDescent="0.2">
      <c r="A14" s="163"/>
      <c r="B14" s="49"/>
      <c r="C14" s="49"/>
      <c r="D14" s="49"/>
      <c r="E14" s="165"/>
      <c r="F14" s="164"/>
    </row>
    <row r="15" spans="1:10" s="48" customFormat="1" ht="12.75" x14ac:dyDescent="0.2">
      <c r="A15" s="192"/>
      <c r="B15" s="198" t="s">
        <v>80</v>
      </c>
      <c r="C15" s="198" t="s">
        <v>77</v>
      </c>
      <c r="D15" s="196" t="s">
        <v>7</v>
      </c>
      <c r="E15" s="196" t="s">
        <v>23</v>
      </c>
      <c r="F15" s="197"/>
    </row>
    <row r="16" spans="1:10" ht="12.75" x14ac:dyDescent="0.2">
      <c r="A16" s="163">
        <v>1</v>
      </c>
      <c r="B16" s="166" t="str">
        <f>Rezepteingabe!D20</f>
        <v>Weizenkeimöl</v>
      </c>
      <c r="C16" s="167"/>
      <c r="D16" s="49">
        <f>IF(Rezepteingabe!N20=0,"",Rezepteingabe!N20)</f>
        <v>5</v>
      </c>
      <c r="E16" s="165">
        <f>Rezepteingabe!K20</f>
        <v>12.5</v>
      </c>
      <c r="F16" s="164"/>
    </row>
    <row r="17" spans="1:6" ht="12.75" x14ac:dyDescent="0.2">
      <c r="A17" s="163">
        <v>2</v>
      </c>
      <c r="B17" s="49" t="str">
        <f>Rezepteingabe!D11</f>
        <v>Babassu</v>
      </c>
      <c r="C17" s="49" t="str">
        <f>IF(B17="","",VLOOKUP(B17,'VZ ändern'!$A$11:$B$46,2))</f>
        <v>Orbignya Oleifera (Babassu) Seed Oil</v>
      </c>
      <c r="D17" s="49">
        <f>IF(Rezepteingabe!N11=0,"",Rezepteingabe!N11)</f>
        <v>20</v>
      </c>
      <c r="E17" s="165">
        <f>Rezepteingabe!K11</f>
        <v>50</v>
      </c>
      <c r="F17" s="164"/>
    </row>
    <row r="18" spans="1:6" ht="12.75" x14ac:dyDescent="0.2">
      <c r="A18" s="163">
        <v>3</v>
      </c>
      <c r="B18" s="49" t="str">
        <f>Rezepteingabe!D12</f>
        <v>Kokosöl</v>
      </c>
      <c r="C18" s="49" t="str">
        <f>IF(B18="","",VLOOKUP(B18,'VZ ändern'!$A$11:$B$46,2))</f>
        <v>Cocos Nucifera (Coconut) Oil</v>
      </c>
      <c r="D18" s="49">
        <f>IF(Rezepteingabe!N12=0,"",Rezepteingabe!N12)</f>
        <v>20</v>
      </c>
      <c r="E18" s="165">
        <f>Rezepteingabe!K12</f>
        <v>50</v>
      </c>
      <c r="F18" s="164"/>
    </row>
    <row r="19" spans="1:6" ht="12.75" x14ac:dyDescent="0.2">
      <c r="A19" s="163">
        <v>4</v>
      </c>
      <c r="B19" s="49" t="str">
        <f>Rezepteingabe!D13</f>
        <v>Avocadoöl</v>
      </c>
      <c r="C19" s="49" t="str">
        <f>IF(B19="","",VLOOKUP(B19,'VZ ändern'!$A$11:$B$46,2))</f>
        <v>Persea Gratissima (Avocado) Oil</v>
      </c>
      <c r="D19" s="49">
        <f>IF(Rezepteingabe!N13=0,"",Rezepteingabe!N13)</f>
        <v>40</v>
      </c>
      <c r="E19" s="165">
        <f>Rezepteingabe!K13</f>
        <v>100</v>
      </c>
      <c r="F19" s="164"/>
    </row>
    <row r="20" spans="1:6" ht="12.75" x14ac:dyDescent="0.2">
      <c r="A20" s="163">
        <v>5</v>
      </c>
      <c r="B20" s="49" t="str">
        <f>Rezepteingabe!D14</f>
        <v>Olivenöl</v>
      </c>
      <c r="C20" s="49" t="str">
        <f>IF(B20="","",VLOOKUP(B20,'VZ ändern'!$A$11:$B$46,2))</f>
        <v>Olea Europaea (Olive) Fruit Oil</v>
      </c>
      <c r="D20" s="49">
        <f>IF(Rezepteingabe!N14=0,"",Rezepteingabe!N14)</f>
        <v>10</v>
      </c>
      <c r="E20" s="165">
        <f>Rezepteingabe!K14</f>
        <v>25</v>
      </c>
      <c r="F20" s="164"/>
    </row>
    <row r="21" spans="1:6" ht="12.75" x14ac:dyDescent="0.2">
      <c r="A21" s="163">
        <v>6</v>
      </c>
      <c r="B21" s="49" t="str">
        <f>Rezepteingabe!D15</f>
        <v>Myristinsäure</v>
      </c>
      <c r="C21" s="49" t="str">
        <f>IF(B21="","",VLOOKUP(B21,'VZ ändern'!$A$11:$B$46,2))</f>
        <v>Myristic Acids</v>
      </c>
      <c r="D21" s="49">
        <f>IF(Rezepteingabe!N15=0,"",Rezepteingabe!N15)</f>
        <v>5</v>
      </c>
      <c r="E21" s="165">
        <f>Rezepteingabe!K15</f>
        <v>12.5</v>
      </c>
      <c r="F21" s="164"/>
    </row>
    <row r="22" spans="1:6" ht="12.75" x14ac:dyDescent="0.2">
      <c r="A22" s="163">
        <v>7</v>
      </c>
      <c r="B22" s="49" t="str">
        <f>Rezepteingabe!D16</f>
        <v/>
      </c>
      <c r="C22" s="49" t="str">
        <f>IF(B22="","",VLOOKUP(B22,'VZ ändern'!$A$11:$B$46,2))</f>
        <v/>
      </c>
      <c r="D22" s="49" t="str">
        <f>IF(Rezepteingabe!N16=0,"",Rezepteingabe!N16)</f>
        <v/>
      </c>
      <c r="E22" s="165" t="str">
        <f>Rezepteingabe!K16</f>
        <v/>
      </c>
      <c r="F22" s="164"/>
    </row>
    <row r="23" spans="1:6" ht="12.75" x14ac:dyDescent="0.2">
      <c r="A23" s="163">
        <v>8</v>
      </c>
      <c r="B23" s="49" t="str">
        <f>Rezepteingabe!D17</f>
        <v/>
      </c>
      <c r="C23" s="49" t="str">
        <f>IF(B23="","",VLOOKUP(B23,'VZ ändern'!$A$11:$B$46,2))</f>
        <v/>
      </c>
      <c r="D23" s="49" t="str">
        <f>IF(Rezepteingabe!N17=0,"",Rezepteingabe!N17)</f>
        <v/>
      </c>
      <c r="E23" s="165" t="str">
        <f>Rezepteingabe!K17</f>
        <v/>
      </c>
      <c r="F23" s="164"/>
    </row>
    <row r="24" spans="1:6" ht="12.75" x14ac:dyDescent="0.2">
      <c r="A24" s="163">
        <v>9</v>
      </c>
      <c r="B24" s="49" t="str">
        <f>Rezepteingabe!D18</f>
        <v/>
      </c>
      <c r="C24" s="49" t="str">
        <f>IF(B24="","",VLOOKUP(B24,'VZ ändern'!$A$11:$B$46,2))</f>
        <v/>
      </c>
      <c r="D24" s="49" t="str">
        <f>IF(Rezepteingabe!N18=0,"",Rezepteingabe!N18)</f>
        <v/>
      </c>
      <c r="E24" s="165" t="str">
        <f>Rezepteingabe!K18</f>
        <v/>
      </c>
      <c r="F24" s="164"/>
    </row>
    <row r="25" spans="1:6" ht="12.75" x14ac:dyDescent="0.2">
      <c r="A25" s="163">
        <v>10</v>
      </c>
      <c r="B25" s="49" t="str">
        <f>Rezepteingabe!D19</f>
        <v/>
      </c>
      <c r="C25" s="168" t="str">
        <f>IF(B25="","",VLOOKUP(B25,'VZ ändern'!$A$11:$B$46,2))</f>
        <v/>
      </c>
      <c r="D25" s="49" t="str">
        <f>IF(Rezepteingabe!N19=0,"",Rezepteingabe!N19)</f>
        <v/>
      </c>
      <c r="E25" s="165" t="str">
        <f>Rezepteingabe!K19</f>
        <v/>
      </c>
      <c r="F25" s="164"/>
    </row>
    <row r="26" spans="1:6" s="48" customFormat="1" ht="12.75" x14ac:dyDescent="0.2">
      <c r="A26" s="192"/>
      <c r="B26" s="193" t="s">
        <v>45</v>
      </c>
      <c r="C26" s="194" t="s">
        <v>77</v>
      </c>
      <c r="D26" s="195"/>
      <c r="E26" s="196" t="s">
        <v>23</v>
      </c>
      <c r="F26" s="197"/>
    </row>
    <row r="27" spans="1:6" ht="12.75" x14ac:dyDescent="0.2">
      <c r="A27" s="163"/>
      <c r="B27" s="169"/>
      <c r="C27" s="182"/>
      <c r="D27" s="180"/>
      <c r="E27" s="170"/>
      <c r="F27" s="164"/>
    </row>
    <row r="28" spans="1:6" ht="12.75" x14ac:dyDescent="0.2">
      <c r="A28" s="163"/>
      <c r="B28" s="169"/>
      <c r="C28" s="183"/>
      <c r="D28" s="180"/>
      <c r="E28" s="170"/>
      <c r="F28" s="164"/>
    </row>
    <row r="29" spans="1:6" ht="12.75" x14ac:dyDescent="0.2">
      <c r="A29" s="163"/>
      <c r="B29" s="169"/>
      <c r="C29" s="183"/>
      <c r="D29" s="180"/>
      <c r="E29" s="170"/>
      <c r="F29" s="164"/>
    </row>
    <row r="30" spans="1:6" ht="12.75" x14ac:dyDescent="0.2">
      <c r="A30" s="163"/>
      <c r="B30" s="169"/>
      <c r="C30" s="182"/>
      <c r="D30" s="180"/>
      <c r="E30" s="170"/>
      <c r="F30" s="164"/>
    </row>
    <row r="31" spans="1:6" ht="12.75" x14ac:dyDescent="0.2">
      <c r="A31" s="163"/>
      <c r="B31" s="169"/>
      <c r="C31" s="183"/>
      <c r="D31" s="180"/>
      <c r="E31" s="170"/>
      <c r="F31" s="164"/>
    </row>
    <row r="32" spans="1:6" ht="12.75" x14ac:dyDescent="0.2">
      <c r="A32" s="163"/>
      <c r="B32" s="171"/>
      <c r="C32" s="183"/>
      <c r="D32" s="181"/>
      <c r="E32" s="172"/>
      <c r="F32" s="164"/>
    </row>
    <row r="33" spans="1:6" ht="12.75" x14ac:dyDescent="0.2">
      <c r="A33" s="163"/>
      <c r="B33" s="173"/>
      <c r="C33" s="183"/>
      <c r="D33" s="185"/>
      <c r="E33" s="204"/>
      <c r="F33" s="164"/>
    </row>
    <row r="34" spans="1:6" s="48" customFormat="1" ht="12.75" x14ac:dyDescent="0.2">
      <c r="A34" s="189"/>
      <c r="B34" s="190" t="s">
        <v>173</v>
      </c>
      <c r="C34" s="191"/>
      <c r="D34" s="202"/>
      <c r="E34" s="205" t="s">
        <v>175</v>
      </c>
      <c r="F34" s="203"/>
    </row>
    <row r="35" spans="1:6" ht="12.75" x14ac:dyDescent="0.2">
      <c r="A35" s="175"/>
      <c r="B35" s="214"/>
      <c r="C35" s="214"/>
      <c r="D35" s="184"/>
      <c r="E35" s="184"/>
      <c r="F35" s="186"/>
    </row>
    <row r="36" spans="1:6" ht="12.75" x14ac:dyDescent="0.2">
      <c r="A36" s="175"/>
      <c r="B36" s="214"/>
      <c r="C36" s="214"/>
      <c r="D36" s="184"/>
      <c r="E36" s="184"/>
      <c r="F36" s="186"/>
    </row>
    <row r="37" spans="1:6" ht="12.75" x14ac:dyDescent="0.2">
      <c r="A37" s="175"/>
      <c r="B37" s="214"/>
      <c r="C37" s="214"/>
      <c r="D37" s="184"/>
      <c r="E37" s="184"/>
      <c r="F37" s="186"/>
    </row>
    <row r="38" spans="1:6" ht="12.75" x14ac:dyDescent="0.2">
      <c r="A38" s="175"/>
      <c r="B38" s="215"/>
      <c r="C38" s="216"/>
      <c r="D38" s="184"/>
      <c r="E38" s="184"/>
      <c r="F38" s="186"/>
    </row>
    <row r="39" spans="1:6" ht="12.75" x14ac:dyDescent="0.2">
      <c r="A39" s="175"/>
      <c r="B39" s="215"/>
      <c r="C39" s="216"/>
      <c r="D39" s="184"/>
      <c r="E39" s="184"/>
      <c r="F39" s="186"/>
    </row>
    <row r="40" spans="1:6" ht="12.75" x14ac:dyDescent="0.2">
      <c r="A40" s="175"/>
      <c r="B40" s="214"/>
      <c r="C40" s="214"/>
      <c r="D40" s="184"/>
      <c r="E40" s="184"/>
      <c r="F40" s="186"/>
    </row>
    <row r="41" spans="1:6" ht="12.75" x14ac:dyDescent="0.2">
      <c r="A41" s="175"/>
      <c r="B41" s="214"/>
      <c r="C41" s="214"/>
      <c r="D41" s="184"/>
      <c r="E41" s="184"/>
      <c r="F41" s="186"/>
    </row>
    <row r="42" spans="1:6" ht="12.75" x14ac:dyDescent="0.2">
      <c r="A42" s="175"/>
      <c r="B42" s="214"/>
      <c r="C42" s="214"/>
      <c r="D42" s="184"/>
      <c r="E42" s="184"/>
      <c r="F42" s="186"/>
    </row>
    <row r="43" spans="1:6" ht="12.75" x14ac:dyDescent="0.2">
      <c r="A43" s="175"/>
      <c r="B43" s="214"/>
      <c r="C43" s="214"/>
      <c r="D43" s="184"/>
      <c r="E43" s="184"/>
      <c r="F43" s="186"/>
    </row>
    <row r="44" spans="1:6" ht="12.75" x14ac:dyDescent="0.2">
      <c r="A44" s="175"/>
      <c r="B44" s="214"/>
      <c r="C44" s="214"/>
      <c r="D44" s="184"/>
      <c r="E44" s="184"/>
      <c r="F44" s="186"/>
    </row>
    <row r="45" spans="1:6" ht="12.75" x14ac:dyDescent="0.2">
      <c r="A45" s="175"/>
      <c r="B45" s="214"/>
      <c r="C45" s="214"/>
      <c r="D45" s="184"/>
      <c r="E45" s="184"/>
      <c r="F45" s="186"/>
    </row>
    <row r="46" spans="1:6" ht="12.75" x14ac:dyDescent="0.2">
      <c r="A46" s="175"/>
      <c r="B46" s="214"/>
      <c r="C46" s="214"/>
      <c r="D46" s="184"/>
      <c r="E46" s="184"/>
      <c r="F46" s="186"/>
    </row>
    <row r="47" spans="1:6" ht="12.75" x14ac:dyDescent="0.2">
      <c r="A47" s="163"/>
      <c r="B47" s="174" t="s">
        <v>81</v>
      </c>
      <c r="C47" s="174" t="s">
        <v>55</v>
      </c>
      <c r="D47" s="187"/>
      <c r="E47" s="188" t="s">
        <v>82</v>
      </c>
      <c r="F47" s="164"/>
    </row>
    <row r="48" spans="1:6" ht="12.75" x14ac:dyDescent="0.2">
      <c r="A48" s="163"/>
      <c r="B48" s="49" t="s">
        <v>56</v>
      </c>
      <c r="C48" s="50">
        <f>Rezepteingabe!O21</f>
        <v>48.25</v>
      </c>
      <c r="D48" s="51">
        <f>Rezepteingabe!V21</f>
        <v>19.8</v>
      </c>
      <c r="E48" s="49" t="s">
        <v>32</v>
      </c>
      <c r="F48" s="164"/>
    </row>
    <row r="49" spans="1:6" ht="12.75" x14ac:dyDescent="0.2">
      <c r="A49" s="163"/>
      <c r="B49" s="49" t="s">
        <v>57</v>
      </c>
      <c r="C49" s="50">
        <f>Rezepteingabe!P21</f>
        <v>32.35</v>
      </c>
      <c r="D49" s="51">
        <f>Rezepteingabe!W21</f>
        <v>12.75</v>
      </c>
      <c r="E49" s="49" t="s">
        <v>33</v>
      </c>
      <c r="F49" s="164"/>
    </row>
    <row r="50" spans="1:6" ht="12.75" x14ac:dyDescent="0.2">
      <c r="A50" s="163"/>
      <c r="B50" s="49" t="s">
        <v>58</v>
      </c>
      <c r="C50" s="50">
        <f>Rezepteingabe!Q21</f>
        <v>40.200000000000003</v>
      </c>
      <c r="D50" s="51">
        <f>Rezepteingabe!X21</f>
        <v>13.4</v>
      </c>
      <c r="E50" s="49" t="s">
        <v>34</v>
      </c>
      <c r="F50" s="164"/>
    </row>
    <row r="51" spans="1:6" ht="12.75" x14ac:dyDescent="0.2">
      <c r="A51" s="163"/>
      <c r="B51" s="49" t="s">
        <v>59</v>
      </c>
      <c r="C51" s="50">
        <f>Rezepteingabe!R21</f>
        <v>32.35</v>
      </c>
      <c r="D51" s="51">
        <f>Rezepteingabe!Y21</f>
        <v>2.5</v>
      </c>
      <c r="E51" s="49" t="s">
        <v>35</v>
      </c>
      <c r="F51" s="164"/>
    </row>
    <row r="52" spans="1:6" ht="12.75" x14ac:dyDescent="0.2">
      <c r="A52" s="163"/>
      <c r="B52" s="49" t="s">
        <v>60</v>
      </c>
      <c r="C52" s="50">
        <f>Rezepteingabe!S21</f>
        <v>15.9</v>
      </c>
      <c r="D52" s="51">
        <f>Rezepteingabe!Z21</f>
        <v>0</v>
      </c>
      <c r="E52" s="49" t="s">
        <v>36</v>
      </c>
      <c r="F52" s="164"/>
    </row>
    <row r="53" spans="1:6" ht="12.75" x14ac:dyDescent="0.2">
      <c r="A53" s="163"/>
      <c r="B53" s="49" t="s">
        <v>61</v>
      </c>
      <c r="C53" s="50">
        <f>Rezepteingabe!T21</f>
        <v>47.95</v>
      </c>
      <c r="D53" s="51">
        <f>Rezepteingabe!AA21</f>
        <v>33.700000000000003</v>
      </c>
      <c r="E53" s="49" t="s">
        <v>37</v>
      </c>
      <c r="F53" s="164"/>
    </row>
    <row r="54" spans="1:6" ht="12.75" x14ac:dyDescent="0.2">
      <c r="A54" s="163"/>
      <c r="B54" s="49" t="s">
        <v>62</v>
      </c>
      <c r="C54" s="50">
        <f>Rezepteingabe!U21</f>
        <v>160</v>
      </c>
      <c r="D54" s="51">
        <f>Rezepteingabe!AB21</f>
        <v>6.4</v>
      </c>
      <c r="E54" s="49" t="s">
        <v>38</v>
      </c>
      <c r="F54" s="164"/>
    </row>
    <row r="55" spans="1:6" ht="12.75" x14ac:dyDescent="0.2">
      <c r="A55" s="175"/>
      <c r="B55" s="94"/>
      <c r="C55" s="95"/>
      <c r="D55" s="51">
        <f>Rezepteingabe!AC21</f>
        <v>0.1</v>
      </c>
      <c r="E55" s="49" t="s">
        <v>39</v>
      </c>
      <c r="F55" s="164"/>
    </row>
    <row r="56" spans="1:6" ht="18" customHeight="1" thickBot="1" x14ac:dyDescent="0.25">
      <c r="A56" s="176"/>
      <c r="B56" s="177"/>
      <c r="C56" s="177"/>
      <c r="D56" s="178"/>
      <c r="E56" s="178"/>
      <c r="F56" s="179"/>
    </row>
  </sheetData>
  <sheetProtection sheet="1" scenarios="1" selectLockedCells="1"/>
  <mergeCells count="12">
    <mergeCell ref="B43:C43"/>
    <mergeCell ref="B44:C44"/>
    <mergeCell ref="B45:C45"/>
    <mergeCell ref="B46:C46"/>
    <mergeCell ref="B38:C38"/>
    <mergeCell ref="B39:C39"/>
    <mergeCell ref="B42:C42"/>
    <mergeCell ref="B35:C35"/>
    <mergeCell ref="B36:C36"/>
    <mergeCell ref="B37:C37"/>
    <mergeCell ref="B41:C41"/>
    <mergeCell ref="B40:C40"/>
  </mergeCells>
  <pageMargins left="0.78740157480314965" right="0.19685039370078741" top="0.82677165354330717" bottom="0.23622047244094491" header="0.78740157480314965" footer="0.78740157480314965"/>
  <pageSetup paperSize="9" firstPageNumber="0" orientation="portrait" horizontalDpi="4294967293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FF33"/>
  </sheetPr>
  <dimension ref="A1:E3"/>
  <sheetViews>
    <sheetView zoomScale="75" zoomScaleNormal="75" workbookViewId="0">
      <selection activeCell="E13" sqref="E13"/>
    </sheetView>
  </sheetViews>
  <sheetFormatPr baseColWidth="10" defaultColWidth="11.5703125" defaultRowHeight="12.75" x14ac:dyDescent="0.2"/>
  <cols>
    <col min="1" max="4" width="25.5703125" style="55" customWidth="1"/>
    <col min="5" max="16384" width="11.5703125" style="55"/>
  </cols>
  <sheetData>
    <row r="1" spans="1:5" ht="99.2" customHeight="1" x14ac:dyDescent="0.2">
      <c r="A1" s="141" t="str">
        <f>IF(Tabelle5!H3="","",Tabelle5!H3)&amp;", "&amp;IF(Tabelle5!H4="","",Tabelle5!H4)&amp;", "&amp;IF(Tabelle5!H5="","",Tabelle5!H5)&amp;", "&amp;IF(Tabelle5!H6="","",Tabelle5!H6)&amp;", "&amp;IF(Tabelle5!H7="!","",Tabelle5!H7)&amp;", "&amp;IF(Tabelle5!H8="","",Tabelle5!H8)&amp;", "&amp;IF(Tabelle5!H9="","",Tabelle5!H9)&amp;", "&amp;IF(Tabelle5!H10="!","",Tabelle5!H10)&amp;", "&amp;IF(Tabelle5!H11="","",Tabelle5!H11)&amp;", "&amp;IF(Tabelle5!H12="","",Tabelle5!H12)&amp;", "&amp;IF(Tabelle5!H13="","",Tabelle5!H13)&amp;", "&amp;IF(Tabelle5!H14="","",Tabelle5!H14)&amp;", "&amp;IF(Tabelle5!H15="","",Tabelle5!H15)&amp;", "&amp;IF(Tabelle5!H16="","",Tabelle5!H16&amp;", "&amp;IF(Tabelle5!H17="","",Tabelle5!H17))</f>
        <v xml:space="preserve">Avocadoöl, Wasser, Kokosöl, Babassu, Olivenöl, NaOH, KOH, Myristinsäure, Weizenkeimöl, Duft, , , , </v>
      </c>
      <c r="B1" s="142" t="str">
        <f>$A$1</f>
        <v xml:space="preserve">Avocadoöl, Wasser, Kokosöl, Babassu, Olivenöl, NaOH, KOH, Myristinsäure, Weizenkeimöl, Duft, , , , </v>
      </c>
      <c r="C1" s="142" t="str">
        <f>$A$1</f>
        <v xml:space="preserve">Avocadoöl, Wasser, Kokosöl, Babassu, Olivenöl, NaOH, KOH, Myristinsäure, Weizenkeimöl, Duft, , , , </v>
      </c>
      <c r="D1" s="92"/>
      <c r="E1" s="92"/>
    </row>
    <row r="2" spans="1:5" ht="99.2" customHeight="1" x14ac:dyDescent="0.2">
      <c r="A2" s="142" t="str">
        <f t="shared" ref="A2:C3" si="0">$A$1</f>
        <v xml:space="preserve">Avocadoöl, Wasser, Kokosöl, Babassu, Olivenöl, NaOH, KOH, Myristinsäure, Weizenkeimöl, Duft, , , , </v>
      </c>
      <c r="B2" s="142" t="str">
        <f t="shared" si="0"/>
        <v xml:space="preserve">Avocadoöl, Wasser, Kokosöl, Babassu, Olivenöl, NaOH, KOH, Myristinsäure, Weizenkeimöl, Duft, , , , </v>
      </c>
      <c r="C2" s="142" t="str">
        <f t="shared" si="0"/>
        <v xml:space="preserve">Avocadoöl, Wasser, Kokosöl, Babassu, Olivenöl, NaOH, KOH, Myristinsäure, Weizenkeimöl, Duft, , , , </v>
      </c>
      <c r="D2" s="93"/>
    </row>
    <row r="3" spans="1:5" ht="99.2" customHeight="1" x14ac:dyDescent="0.2">
      <c r="A3" s="142" t="str">
        <f t="shared" si="0"/>
        <v xml:space="preserve">Avocadoöl, Wasser, Kokosöl, Babassu, Olivenöl, NaOH, KOH, Myristinsäure, Weizenkeimöl, Duft, , , , </v>
      </c>
      <c r="B3" s="142" t="str">
        <f t="shared" si="0"/>
        <v xml:space="preserve">Avocadoöl, Wasser, Kokosöl, Babassu, Olivenöl, NaOH, KOH, Myristinsäure, Weizenkeimöl, Duft, , , , </v>
      </c>
      <c r="C3" s="142" t="str">
        <f t="shared" si="0"/>
        <v xml:space="preserve">Avocadoöl, Wasser, Kokosöl, Babassu, Olivenöl, NaOH, KOH, Myristinsäure, Weizenkeimöl, Duft, , , , </v>
      </c>
    </row>
  </sheetData>
  <sheetProtection password="EDD5" sheet="1" objects="1" scenarios="1"/>
  <pageMargins left="0.78749999999999998" right="0.78749999999999998" top="1.0249999999999999" bottom="1.0249999999999999" header="0.78749999999999998" footer="0.78749999999999998"/>
  <pageSetup paperSize="9" firstPageNumber="0" orientation="portrait" horizontalDpi="300" verticalDpi="300"/>
  <headerFooter alignWithMargins="0">
    <oddHeader>&amp;C&amp;A</oddHeader>
    <oddFooter>&amp;CSeite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</sheetPr>
  <dimension ref="A1"/>
  <sheetViews>
    <sheetView zoomScale="75" zoomScaleNormal="75" workbookViewId="0">
      <selection activeCell="A23" sqref="A23"/>
    </sheetView>
  </sheetViews>
  <sheetFormatPr baseColWidth="10" defaultColWidth="11.5703125" defaultRowHeight="12.75" x14ac:dyDescent="0.2"/>
  <cols>
    <col min="1" max="1" width="85.28515625" style="55" customWidth="1"/>
    <col min="2" max="16384" width="11.5703125" style="55"/>
  </cols>
  <sheetData>
    <row r="1" spans="1:1" ht="132.4" customHeight="1" x14ac:dyDescent="0.2">
      <c r="A1" s="140" t="str">
        <f>IF(Tabelle5!I3="","",Tabelle5!I3)&amp;", "&amp;IF(Tabelle5!I4="","",Tabelle5!I4)&amp;", "&amp;IF(Tabelle5!I5="","",Tabelle5!I5)&amp;", "&amp;IF(Tabelle5!I6="","",Tabelle5!I6)&amp;", "&amp;IF(Tabelle5!I7="","",Tabelle5!I7)&amp;", "&amp;IF(Tabelle5!I8="","",Tabelle5!I8)&amp;", "&amp;IF(Tabelle5!I9="","",Tabelle5!I9)&amp;", "&amp;IF(Tabelle5!I10="","",Tabelle5!I10)&amp;", "&amp;IF(Tabelle5!I11="!","",Tabelle5!I11)&amp;", "&amp;IF(Tabelle5!I12="","",Tabelle5!I12)&amp;", "&amp;IF(Tabelle5!I13="","",Tabelle5!I13)&amp;", "&amp;IF(Tabelle5!I14="","",Tabelle5!I14)&amp;", "&amp;IF(Tabelle5!I15="","",Tabelle5!I15)&amp;", "&amp;IF(Tabelle5!I16="","",Tabelle5!I16)&amp;", "&amp;IF(Tabelle5!I17="","",Tabelle5!I17)</f>
        <v xml:space="preserve">Persea Gratissima (Avocado) Oil, Aqua, Cocos Nucifera (Coconut) Oil, Orbignya Oleifera (Babassu) Seed Oil, Olea Europaea (Olive) Fruit Oil, Sodium Hydroxide, Potassium Hydroxide, Myristic Acids, 0, 0, , , , , </v>
      </c>
    </row>
  </sheetData>
  <sheetProtection password="EDD5" sheet="1" objects="1" scenarios="1"/>
  <pageMargins left="0.78749999999999998" right="0.78749999999999998" top="1.0249999999999999" bottom="1.0249999999999999" header="0.78749999999999998" footer="0.78749999999999998"/>
  <pageSetup paperSize="9" firstPageNumber="0" orientation="portrait" horizontalDpi="300" verticalDpi="300"/>
  <headerFooter alignWithMargins="0">
    <oddHeader>&amp;C&amp;A</oddHeader>
    <oddFooter>&amp;CSeite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theme="5"/>
  </sheetPr>
  <dimension ref="A5:M142"/>
  <sheetViews>
    <sheetView topLeftCell="A19" zoomScale="75" zoomScaleNormal="75" workbookViewId="0">
      <selection activeCell="N38" sqref="N38"/>
    </sheetView>
  </sheetViews>
  <sheetFormatPr baseColWidth="10" defaultColWidth="11.5703125" defaultRowHeight="12.75" x14ac:dyDescent="0.2"/>
  <cols>
    <col min="1" max="1" width="23.28515625" customWidth="1"/>
    <col min="2" max="2" width="42.5703125" customWidth="1"/>
    <col min="3" max="3" width="12.5703125" customWidth="1"/>
    <col min="4" max="4" width="6.42578125" customWidth="1"/>
    <col min="5" max="5" width="9.140625" customWidth="1"/>
    <col min="6" max="6" width="7" customWidth="1"/>
    <col min="7" max="7" width="9.140625" customWidth="1"/>
    <col min="8" max="8" width="7.5703125" customWidth="1"/>
    <col min="9" max="9" width="5.85546875" customWidth="1"/>
    <col min="10" max="10" width="6.42578125" customWidth="1"/>
    <col min="11" max="11" width="26" customWidth="1"/>
    <col min="12" max="12" width="10.7109375" customWidth="1"/>
    <col min="13" max="13" width="10.85546875" customWidth="1"/>
    <col min="14" max="14" width="9.7109375" customWidth="1"/>
    <col min="15" max="15" width="9.42578125" customWidth="1"/>
  </cols>
  <sheetData>
    <row r="5" spans="1:13" x14ac:dyDescent="0.2">
      <c r="C5" s="55"/>
      <c r="K5" s="52"/>
      <c r="M5" s="53"/>
    </row>
    <row r="6" spans="1:13" x14ac:dyDescent="0.2">
      <c r="C6" s="55"/>
      <c r="K6" s="52"/>
    </row>
    <row r="7" spans="1:13" x14ac:dyDescent="0.2">
      <c r="C7" s="55"/>
      <c r="K7" s="52"/>
      <c r="M7" s="53"/>
    </row>
    <row r="8" spans="1:13" x14ac:dyDescent="0.2">
      <c r="C8" s="55"/>
    </row>
    <row r="9" spans="1:13" x14ac:dyDescent="0.2">
      <c r="A9" s="52" t="s">
        <v>83</v>
      </c>
      <c r="B9" s="52" t="s">
        <v>84</v>
      </c>
      <c r="C9" s="54" t="s">
        <v>21</v>
      </c>
      <c r="D9" s="52" t="s">
        <v>25</v>
      </c>
      <c r="E9" s="52" t="s">
        <v>85</v>
      </c>
      <c r="F9" s="52" t="s">
        <v>27</v>
      </c>
      <c r="G9" s="52" t="s">
        <v>28</v>
      </c>
      <c r="H9" s="52" t="s">
        <v>86</v>
      </c>
      <c r="I9" s="52" t="s">
        <v>31</v>
      </c>
      <c r="J9" s="52" t="s">
        <v>30</v>
      </c>
      <c r="K9" s="52" t="s">
        <v>83</v>
      </c>
    </row>
    <row r="10" spans="1:13" x14ac:dyDescent="0.2">
      <c r="A10" t="s">
        <v>43</v>
      </c>
      <c r="C10" s="55"/>
    </row>
    <row r="11" spans="1:13" ht="15" x14ac:dyDescent="0.2">
      <c r="A11" s="56" t="s">
        <v>87</v>
      </c>
      <c r="B11" s="57" t="s">
        <v>88</v>
      </c>
      <c r="C11" s="58">
        <v>0.13900000000000001</v>
      </c>
      <c r="D11">
        <v>6</v>
      </c>
      <c r="E11">
        <v>0</v>
      </c>
      <c r="F11">
        <v>93</v>
      </c>
      <c r="G11">
        <v>0</v>
      </c>
      <c r="H11">
        <v>6</v>
      </c>
      <c r="I11">
        <v>91</v>
      </c>
      <c r="J11">
        <v>100</v>
      </c>
      <c r="K11" s="56" t="s">
        <v>87</v>
      </c>
    </row>
    <row r="12" spans="1:13" ht="15" x14ac:dyDescent="0.2">
      <c r="A12" s="56" t="s">
        <v>89</v>
      </c>
      <c r="B12" s="57" t="s">
        <v>90</v>
      </c>
      <c r="C12" s="58">
        <v>0.13600000000000001</v>
      </c>
      <c r="D12">
        <v>15</v>
      </c>
      <c r="E12">
        <v>1</v>
      </c>
      <c r="F12">
        <v>81</v>
      </c>
      <c r="G12">
        <v>1</v>
      </c>
      <c r="H12">
        <v>14</v>
      </c>
      <c r="I12">
        <v>95</v>
      </c>
      <c r="J12">
        <v>95</v>
      </c>
      <c r="K12" s="56" t="s">
        <v>89</v>
      </c>
    </row>
    <row r="13" spans="1:13" ht="15" x14ac:dyDescent="0.2">
      <c r="A13" s="56" t="s">
        <v>42</v>
      </c>
      <c r="B13" s="57" t="s">
        <v>172</v>
      </c>
      <c r="C13" s="59">
        <v>0.13350000000000001</v>
      </c>
      <c r="D13">
        <v>22</v>
      </c>
      <c r="E13">
        <v>0</v>
      </c>
      <c r="F13">
        <v>70</v>
      </c>
      <c r="G13">
        <v>0</v>
      </c>
      <c r="H13">
        <v>22</v>
      </c>
      <c r="I13">
        <v>99</v>
      </c>
      <c r="J13">
        <v>86</v>
      </c>
      <c r="K13" s="56" t="s">
        <v>42</v>
      </c>
    </row>
    <row r="14" spans="1:13" ht="15" x14ac:dyDescent="0.2">
      <c r="A14" s="56" t="s">
        <v>40</v>
      </c>
      <c r="B14" s="57" t="s">
        <v>91</v>
      </c>
      <c r="C14" s="58">
        <v>0.17470000000000002</v>
      </c>
      <c r="D14">
        <v>85</v>
      </c>
      <c r="E14">
        <v>70</v>
      </c>
      <c r="F14">
        <v>10</v>
      </c>
      <c r="G14">
        <v>70</v>
      </c>
      <c r="H14">
        <v>15</v>
      </c>
      <c r="I14">
        <v>230</v>
      </c>
      <c r="J14">
        <v>15</v>
      </c>
      <c r="K14" s="56" t="s">
        <v>40</v>
      </c>
    </row>
    <row r="15" spans="1:13" ht="15" x14ac:dyDescent="0.2">
      <c r="A15" s="56" t="s">
        <v>92</v>
      </c>
      <c r="B15" s="57" t="s">
        <v>93</v>
      </c>
      <c r="C15" s="58">
        <v>6.7000000000000004E-2</v>
      </c>
      <c r="D15">
        <v>90</v>
      </c>
      <c r="E15">
        <v>0</v>
      </c>
      <c r="F15">
        <v>50</v>
      </c>
      <c r="G15">
        <v>0</v>
      </c>
      <c r="H15">
        <v>50</v>
      </c>
      <c r="I15">
        <v>84</v>
      </c>
      <c r="J15">
        <v>10</v>
      </c>
      <c r="K15" s="56" t="s">
        <v>92</v>
      </c>
    </row>
    <row r="16" spans="1:13" ht="15" x14ac:dyDescent="0.2">
      <c r="A16" s="56" t="s">
        <v>163</v>
      </c>
      <c r="B16" s="57" t="s">
        <v>95</v>
      </c>
      <c r="C16" s="60">
        <v>0.13550000000000001</v>
      </c>
      <c r="D16">
        <v>7</v>
      </c>
      <c r="E16">
        <v>0</v>
      </c>
      <c r="F16">
        <v>92</v>
      </c>
      <c r="G16">
        <v>0</v>
      </c>
      <c r="H16">
        <v>11</v>
      </c>
      <c r="I16">
        <v>97</v>
      </c>
      <c r="J16">
        <v>93</v>
      </c>
      <c r="K16" s="56" t="s">
        <v>162</v>
      </c>
    </row>
    <row r="17" spans="1:11" ht="15" x14ac:dyDescent="0.2">
      <c r="A17" s="56" t="s">
        <v>96</v>
      </c>
      <c r="B17" s="61" t="s">
        <v>97</v>
      </c>
      <c r="C17" s="58">
        <v>0.13700000000000001</v>
      </c>
      <c r="D17">
        <v>11</v>
      </c>
      <c r="E17">
        <v>0</v>
      </c>
      <c r="F17">
        <v>82</v>
      </c>
      <c r="G17">
        <v>0</v>
      </c>
      <c r="H17">
        <v>8</v>
      </c>
      <c r="I17">
        <v>99</v>
      </c>
      <c r="J17">
        <v>92</v>
      </c>
      <c r="K17" s="56" t="s">
        <v>96</v>
      </c>
    </row>
    <row r="18" spans="1:11" ht="13.35" customHeight="1" x14ac:dyDescent="0.2">
      <c r="A18" s="56" t="s">
        <v>98</v>
      </c>
      <c r="B18" s="57" t="s">
        <v>99</v>
      </c>
      <c r="C18" s="60">
        <v>6.6000000000000003E-2</v>
      </c>
      <c r="D18">
        <v>0</v>
      </c>
      <c r="E18">
        <v>0</v>
      </c>
      <c r="F18">
        <v>12</v>
      </c>
      <c r="G18">
        <v>0</v>
      </c>
      <c r="H18">
        <v>0</v>
      </c>
      <c r="I18">
        <v>11</v>
      </c>
      <c r="J18">
        <v>83</v>
      </c>
      <c r="K18" s="56" t="s">
        <v>98</v>
      </c>
    </row>
    <row r="19" spans="1:11" ht="15" x14ac:dyDescent="0.2">
      <c r="A19" s="56" t="s">
        <v>100</v>
      </c>
      <c r="B19" s="57" t="s">
        <v>101</v>
      </c>
      <c r="C19" s="58">
        <v>0.13830000000000001</v>
      </c>
      <c r="D19">
        <v>61</v>
      </c>
      <c r="E19">
        <v>0</v>
      </c>
      <c r="F19">
        <v>38</v>
      </c>
      <c r="G19">
        <v>0</v>
      </c>
      <c r="H19">
        <v>61</v>
      </c>
      <c r="I19">
        <v>157</v>
      </c>
      <c r="J19">
        <v>37</v>
      </c>
      <c r="K19" s="56" t="s">
        <v>100</v>
      </c>
    </row>
    <row r="20" spans="1:11" ht="15" x14ac:dyDescent="0.2">
      <c r="A20" s="56" t="s">
        <v>41</v>
      </c>
      <c r="B20" s="62" t="s">
        <v>102</v>
      </c>
      <c r="C20" s="58">
        <v>0.1832</v>
      </c>
      <c r="D20">
        <v>79</v>
      </c>
      <c r="E20">
        <v>67</v>
      </c>
      <c r="F20">
        <v>10</v>
      </c>
      <c r="G20">
        <v>67</v>
      </c>
      <c r="H20">
        <v>12</v>
      </c>
      <c r="I20">
        <v>258</v>
      </c>
      <c r="J20">
        <v>10</v>
      </c>
      <c r="K20" s="56" t="s">
        <v>41</v>
      </c>
    </row>
    <row r="21" spans="1:11" ht="15" x14ac:dyDescent="0.2">
      <c r="A21" s="56" t="s">
        <v>103</v>
      </c>
      <c r="B21" s="62" t="s">
        <v>104</v>
      </c>
      <c r="C21" s="58">
        <v>0.13900000000000001</v>
      </c>
      <c r="D21">
        <v>19</v>
      </c>
      <c r="E21">
        <v>0</v>
      </c>
      <c r="F21">
        <v>83</v>
      </c>
      <c r="G21">
        <v>0</v>
      </c>
      <c r="H21">
        <v>19</v>
      </c>
      <c r="I21">
        <v>67</v>
      </c>
      <c r="J21">
        <v>128</v>
      </c>
      <c r="K21" s="56" t="s">
        <v>103</v>
      </c>
    </row>
    <row r="22" spans="1:11" ht="15" x14ac:dyDescent="0.2">
      <c r="A22" s="56" t="s">
        <v>105</v>
      </c>
      <c r="B22" s="62" t="s">
        <v>106</v>
      </c>
      <c r="C22" s="60">
        <v>7.4999999999999997E-2</v>
      </c>
      <c r="D22">
        <v>0</v>
      </c>
      <c r="E22">
        <v>0</v>
      </c>
      <c r="F22">
        <v>0</v>
      </c>
      <c r="G22">
        <v>0</v>
      </c>
      <c r="H22">
        <v>0</v>
      </c>
      <c r="I22">
        <v>83</v>
      </c>
      <c r="J22">
        <v>27</v>
      </c>
      <c r="K22" s="56" t="s">
        <v>105</v>
      </c>
    </row>
    <row r="23" spans="1:11" ht="15" x14ac:dyDescent="0.2">
      <c r="A23" s="56" t="s">
        <v>107</v>
      </c>
      <c r="B23" s="61" t="s">
        <v>108</v>
      </c>
      <c r="C23" s="60">
        <v>0.14050000000000001</v>
      </c>
      <c r="D23">
        <v>42</v>
      </c>
      <c r="E23">
        <v>26</v>
      </c>
      <c r="F23">
        <v>58</v>
      </c>
      <c r="G23">
        <v>26</v>
      </c>
      <c r="H23">
        <v>16</v>
      </c>
      <c r="I23">
        <v>124</v>
      </c>
      <c r="J23">
        <v>74</v>
      </c>
      <c r="K23" s="56" t="s">
        <v>107</v>
      </c>
    </row>
    <row r="24" spans="1:11" ht="15" x14ac:dyDescent="0.2">
      <c r="A24" s="56" t="s">
        <v>109</v>
      </c>
      <c r="B24" s="57" t="s">
        <v>110</v>
      </c>
      <c r="C24" s="58">
        <v>0.13900000000000001</v>
      </c>
      <c r="D24">
        <v>14</v>
      </c>
      <c r="E24">
        <v>0</v>
      </c>
      <c r="F24">
        <v>61</v>
      </c>
      <c r="G24">
        <v>0</v>
      </c>
      <c r="H24">
        <v>14</v>
      </c>
      <c r="I24">
        <v>119</v>
      </c>
      <c r="J24">
        <v>76</v>
      </c>
      <c r="K24" s="56" t="s">
        <v>109</v>
      </c>
    </row>
    <row r="25" spans="1:11" ht="15" x14ac:dyDescent="0.2">
      <c r="A25" s="56" t="s">
        <v>111</v>
      </c>
      <c r="B25" s="57" t="s">
        <v>112</v>
      </c>
      <c r="C25" s="58">
        <v>0.13900000000000001</v>
      </c>
      <c r="D25">
        <v>7</v>
      </c>
      <c r="E25">
        <v>0</v>
      </c>
      <c r="F25">
        <v>89</v>
      </c>
      <c r="G25">
        <v>0</v>
      </c>
      <c r="H25">
        <v>7</v>
      </c>
      <c r="I25">
        <v>97</v>
      </c>
      <c r="J25">
        <v>99</v>
      </c>
      <c r="K25" s="56" t="s">
        <v>111</v>
      </c>
    </row>
    <row r="26" spans="1:11" ht="15" x14ac:dyDescent="0.2">
      <c r="A26" s="56" t="s">
        <v>113</v>
      </c>
      <c r="B26" s="62" t="s">
        <v>114</v>
      </c>
      <c r="C26" s="60">
        <v>0.13390000000000002</v>
      </c>
      <c r="D26">
        <v>49</v>
      </c>
      <c r="E26">
        <v>0</v>
      </c>
      <c r="F26">
        <v>48</v>
      </c>
      <c r="G26">
        <v>0</v>
      </c>
      <c r="H26">
        <v>49</v>
      </c>
      <c r="I26">
        <v>146</v>
      </c>
      <c r="J26">
        <v>45</v>
      </c>
      <c r="K26" s="56" t="s">
        <v>113</v>
      </c>
    </row>
    <row r="27" spans="1:11" ht="15" x14ac:dyDescent="0.2">
      <c r="A27" s="56" t="s">
        <v>33</v>
      </c>
      <c r="B27" s="62" t="s">
        <v>115</v>
      </c>
      <c r="C27" s="60">
        <v>0.17599999999999999</v>
      </c>
      <c r="D27">
        <v>99</v>
      </c>
      <c r="E27">
        <v>99</v>
      </c>
      <c r="F27">
        <v>0</v>
      </c>
      <c r="G27">
        <v>99</v>
      </c>
      <c r="H27">
        <v>0</v>
      </c>
      <c r="I27">
        <v>246</v>
      </c>
      <c r="J27">
        <v>1</v>
      </c>
      <c r="K27" s="56" t="s">
        <v>33</v>
      </c>
    </row>
    <row r="28" spans="1:11" ht="15" x14ac:dyDescent="0.2">
      <c r="A28" s="56" t="s">
        <v>116</v>
      </c>
      <c r="B28" s="57" t="s">
        <v>117</v>
      </c>
      <c r="C28" s="60">
        <v>0.13450000000000001</v>
      </c>
      <c r="D28">
        <v>17</v>
      </c>
      <c r="E28">
        <v>0</v>
      </c>
      <c r="F28">
        <v>82</v>
      </c>
      <c r="G28">
        <v>0</v>
      </c>
      <c r="H28">
        <v>17</v>
      </c>
      <c r="I28">
        <v>105</v>
      </c>
      <c r="J28">
        <v>85</v>
      </c>
      <c r="K28" s="56" t="s">
        <v>116</v>
      </c>
    </row>
    <row r="29" spans="1:11" ht="15" x14ac:dyDescent="0.2">
      <c r="A29" s="56" t="s">
        <v>118</v>
      </c>
      <c r="B29" s="62" t="s">
        <v>119</v>
      </c>
      <c r="C29" s="58">
        <v>0.17599999999999999</v>
      </c>
      <c r="D29">
        <v>75</v>
      </c>
      <c r="E29">
        <v>65</v>
      </c>
      <c r="F29">
        <v>18</v>
      </c>
      <c r="G29">
        <v>65</v>
      </c>
      <c r="H29">
        <v>10</v>
      </c>
      <c r="I29">
        <v>227</v>
      </c>
      <c r="J29">
        <v>20</v>
      </c>
      <c r="K29" s="56" t="s">
        <v>118</v>
      </c>
    </row>
    <row r="30" spans="1:11" ht="15" x14ac:dyDescent="0.2">
      <c r="A30" s="56" t="s">
        <v>120</v>
      </c>
      <c r="B30" s="62" t="s">
        <v>121</v>
      </c>
      <c r="C30" s="58">
        <v>0.14200000000000002</v>
      </c>
      <c r="D30">
        <v>50</v>
      </c>
      <c r="E30">
        <v>1</v>
      </c>
      <c r="F30">
        <v>49</v>
      </c>
      <c r="G30">
        <v>1</v>
      </c>
      <c r="H30">
        <v>49</v>
      </c>
      <c r="I30">
        <v>145</v>
      </c>
      <c r="J30">
        <v>53</v>
      </c>
      <c r="K30" s="56" t="s">
        <v>120</v>
      </c>
    </row>
    <row r="31" spans="1:11" ht="15" x14ac:dyDescent="0.2">
      <c r="A31" s="56" t="s">
        <v>122</v>
      </c>
      <c r="B31" s="63" t="s">
        <v>123</v>
      </c>
      <c r="C31" s="58">
        <v>0.1326</v>
      </c>
      <c r="D31">
        <v>12</v>
      </c>
      <c r="E31">
        <v>0</v>
      </c>
      <c r="F31">
        <v>88</v>
      </c>
      <c r="G31">
        <v>0</v>
      </c>
      <c r="H31">
        <v>12</v>
      </c>
      <c r="I31">
        <v>92</v>
      </c>
      <c r="J31">
        <v>95</v>
      </c>
      <c r="K31" s="56" t="s">
        <v>122</v>
      </c>
    </row>
    <row r="32" spans="1:11" ht="15" x14ac:dyDescent="0.2">
      <c r="A32" s="56" t="s">
        <v>124</v>
      </c>
      <c r="B32" s="62" t="s">
        <v>125</v>
      </c>
      <c r="C32" s="60">
        <v>0.13540000000000002</v>
      </c>
      <c r="D32">
        <v>6</v>
      </c>
      <c r="E32">
        <v>0</v>
      </c>
      <c r="F32">
        <v>91</v>
      </c>
      <c r="G32">
        <v>0</v>
      </c>
      <c r="H32">
        <v>6</v>
      </c>
      <c r="I32">
        <v>56</v>
      </c>
      <c r="J32">
        <v>110</v>
      </c>
      <c r="K32" s="56" t="s">
        <v>124</v>
      </c>
    </row>
    <row r="33" spans="1:11" ht="15" x14ac:dyDescent="0.2">
      <c r="A33" s="56" t="s">
        <v>126</v>
      </c>
      <c r="B33" s="62" t="s">
        <v>164</v>
      </c>
      <c r="C33" s="60">
        <v>0.1326</v>
      </c>
      <c r="D33">
        <v>6</v>
      </c>
      <c r="E33">
        <v>0</v>
      </c>
      <c r="F33">
        <v>90</v>
      </c>
      <c r="G33">
        <v>0</v>
      </c>
      <c r="H33">
        <v>6</v>
      </c>
      <c r="I33">
        <v>90</v>
      </c>
      <c r="J33">
        <v>96</v>
      </c>
      <c r="K33" s="56" t="s">
        <v>127</v>
      </c>
    </row>
    <row r="34" spans="1:11" ht="15" x14ac:dyDescent="0.2">
      <c r="A34" s="56" t="s">
        <v>128</v>
      </c>
      <c r="B34" s="57" t="s">
        <v>129</v>
      </c>
      <c r="C34" s="58">
        <v>0.1333</v>
      </c>
      <c r="D34">
        <v>26</v>
      </c>
      <c r="E34">
        <v>1</v>
      </c>
      <c r="F34">
        <v>74</v>
      </c>
      <c r="G34">
        <v>1</v>
      </c>
      <c r="H34">
        <v>25</v>
      </c>
      <c r="I34">
        <v>87</v>
      </c>
      <c r="J34">
        <v>100</v>
      </c>
      <c r="K34" s="56" t="s">
        <v>128</v>
      </c>
    </row>
    <row r="35" spans="1:11" ht="15" x14ac:dyDescent="0.2">
      <c r="A35" s="56" t="s">
        <v>130</v>
      </c>
      <c r="B35" s="62" t="s">
        <v>131</v>
      </c>
      <c r="C35" s="58">
        <v>0.1283</v>
      </c>
      <c r="D35">
        <v>0</v>
      </c>
      <c r="E35">
        <v>0</v>
      </c>
      <c r="F35">
        <v>98</v>
      </c>
      <c r="G35">
        <v>90</v>
      </c>
      <c r="H35">
        <v>90</v>
      </c>
      <c r="I35">
        <v>95</v>
      </c>
      <c r="J35">
        <v>86</v>
      </c>
      <c r="K35" s="56" t="s">
        <v>130</v>
      </c>
    </row>
    <row r="36" spans="1:11" ht="15" x14ac:dyDescent="0.2">
      <c r="A36" s="56" t="s">
        <v>132</v>
      </c>
      <c r="B36" s="57" t="s">
        <v>133</v>
      </c>
      <c r="C36" s="60">
        <v>0.13500000000000001</v>
      </c>
      <c r="D36">
        <v>16</v>
      </c>
      <c r="E36">
        <v>0</v>
      </c>
      <c r="F36">
        <v>83</v>
      </c>
      <c r="G36">
        <v>0</v>
      </c>
      <c r="H36">
        <v>16</v>
      </c>
      <c r="I36">
        <v>62</v>
      </c>
      <c r="J36">
        <v>133</v>
      </c>
      <c r="K36" s="56" t="s">
        <v>132</v>
      </c>
    </row>
    <row r="37" spans="1:11" ht="15" x14ac:dyDescent="0.2">
      <c r="A37" s="56" t="s">
        <v>134</v>
      </c>
      <c r="B37" s="61" t="s">
        <v>135</v>
      </c>
      <c r="C37" s="60">
        <v>0.13800000000000001</v>
      </c>
      <c r="D37">
        <v>42</v>
      </c>
      <c r="E37">
        <v>1</v>
      </c>
      <c r="F37">
        <v>52</v>
      </c>
      <c r="G37">
        <v>1</v>
      </c>
      <c r="H37">
        <v>41</v>
      </c>
      <c r="I37">
        <v>139</v>
      </c>
      <c r="J37">
        <v>57</v>
      </c>
      <c r="K37" s="56" t="s">
        <v>134</v>
      </c>
    </row>
    <row r="38" spans="1:11" ht="15" x14ac:dyDescent="0.2">
      <c r="A38" s="56" t="s">
        <v>136</v>
      </c>
      <c r="B38" s="61" t="s">
        <v>137</v>
      </c>
      <c r="C38" s="60">
        <v>0.1376</v>
      </c>
      <c r="D38">
        <v>15</v>
      </c>
      <c r="E38">
        <v>0</v>
      </c>
      <c r="F38">
        <v>83</v>
      </c>
      <c r="G38">
        <v>0</v>
      </c>
      <c r="H38">
        <v>15</v>
      </c>
      <c r="I38">
        <v>81</v>
      </c>
      <c r="J38">
        <v>110</v>
      </c>
      <c r="K38" s="56" t="s">
        <v>136</v>
      </c>
    </row>
    <row r="39" spans="1:11" ht="15" x14ac:dyDescent="0.2">
      <c r="A39" s="56" t="s">
        <v>138</v>
      </c>
      <c r="B39" s="57" t="s">
        <v>139</v>
      </c>
      <c r="C39" s="60">
        <v>0.12820000000000001</v>
      </c>
      <c r="D39">
        <v>45</v>
      </c>
      <c r="E39">
        <v>0</v>
      </c>
      <c r="F39">
        <v>54</v>
      </c>
      <c r="G39">
        <v>0</v>
      </c>
      <c r="H39">
        <v>45</v>
      </c>
      <c r="I39">
        <v>116</v>
      </c>
      <c r="J39">
        <v>59</v>
      </c>
      <c r="K39" s="56" t="s">
        <v>138</v>
      </c>
    </row>
    <row r="40" spans="1:11" ht="15" x14ac:dyDescent="0.2">
      <c r="A40" s="56" t="s">
        <v>140</v>
      </c>
      <c r="B40" s="57" t="s">
        <v>141</v>
      </c>
      <c r="C40" s="60">
        <v>0.13550000000000001</v>
      </c>
      <c r="D40">
        <v>16</v>
      </c>
      <c r="E40">
        <v>0</v>
      </c>
      <c r="F40">
        <v>82</v>
      </c>
      <c r="G40">
        <v>0</v>
      </c>
      <c r="H40">
        <v>16</v>
      </c>
      <c r="I40">
        <v>61</v>
      </c>
      <c r="J40">
        <v>128</v>
      </c>
      <c r="K40" s="56" t="s">
        <v>140</v>
      </c>
    </row>
    <row r="41" spans="1:11" ht="15" x14ac:dyDescent="0.2">
      <c r="A41" s="56" t="s">
        <v>142</v>
      </c>
      <c r="B41" s="57" t="s">
        <v>143</v>
      </c>
      <c r="C41" s="60">
        <v>0.13500000000000001</v>
      </c>
      <c r="D41">
        <v>7</v>
      </c>
      <c r="E41">
        <v>0</v>
      </c>
      <c r="F41">
        <v>88</v>
      </c>
      <c r="G41">
        <v>0</v>
      </c>
      <c r="H41">
        <v>7</v>
      </c>
      <c r="I41">
        <v>106</v>
      </c>
      <c r="J41">
        <v>145</v>
      </c>
      <c r="K41" s="56" t="s">
        <v>142</v>
      </c>
    </row>
    <row r="42" spans="1:11" ht="15" x14ac:dyDescent="0.2">
      <c r="A42" s="56" t="s">
        <v>165</v>
      </c>
      <c r="B42" s="57" t="s">
        <v>145</v>
      </c>
      <c r="C42" s="60">
        <v>0.1348</v>
      </c>
      <c r="D42">
        <v>7</v>
      </c>
      <c r="E42">
        <v>0</v>
      </c>
      <c r="F42">
        <v>88</v>
      </c>
      <c r="G42">
        <v>0</v>
      </c>
      <c r="H42">
        <v>7</v>
      </c>
      <c r="I42">
        <v>106</v>
      </c>
      <c r="J42">
        <v>83</v>
      </c>
      <c r="K42" s="56" t="s">
        <v>146</v>
      </c>
    </row>
    <row r="43" spans="1:11" ht="15" x14ac:dyDescent="0.2">
      <c r="A43" s="56" t="s">
        <v>35</v>
      </c>
      <c r="B43" s="62" t="s">
        <v>147</v>
      </c>
      <c r="C43" s="60">
        <v>0.14099999999999999</v>
      </c>
      <c r="D43">
        <v>99</v>
      </c>
      <c r="E43">
        <v>0</v>
      </c>
      <c r="F43">
        <v>0</v>
      </c>
      <c r="G43">
        <v>0</v>
      </c>
      <c r="H43">
        <v>99</v>
      </c>
      <c r="I43">
        <v>196</v>
      </c>
      <c r="J43">
        <v>2</v>
      </c>
      <c r="K43" s="56" t="s">
        <v>35</v>
      </c>
    </row>
    <row r="44" spans="1:11" ht="15" x14ac:dyDescent="0.2">
      <c r="A44" s="56" t="s">
        <v>148</v>
      </c>
      <c r="B44" s="62" t="s">
        <v>149</v>
      </c>
      <c r="C44" s="60">
        <v>0.13900000000000001</v>
      </c>
      <c r="D44">
        <v>36</v>
      </c>
      <c r="E44">
        <v>4</v>
      </c>
      <c r="F44">
        <v>57</v>
      </c>
      <c r="G44">
        <v>4</v>
      </c>
      <c r="H44">
        <v>32</v>
      </c>
      <c r="I44">
        <v>128</v>
      </c>
      <c r="J44">
        <v>97</v>
      </c>
      <c r="K44" s="56" t="s">
        <v>148</v>
      </c>
    </row>
    <row r="45" spans="1:11" ht="15" x14ac:dyDescent="0.2">
      <c r="A45" s="56" t="s">
        <v>150</v>
      </c>
      <c r="B45" s="61" t="s">
        <v>151</v>
      </c>
      <c r="C45" s="60">
        <v>0.1285</v>
      </c>
      <c r="D45">
        <v>12</v>
      </c>
      <c r="E45">
        <v>0</v>
      </c>
      <c r="F45">
        <v>88</v>
      </c>
      <c r="G45">
        <v>0</v>
      </c>
      <c r="H45">
        <v>12</v>
      </c>
      <c r="I45">
        <v>66</v>
      </c>
      <c r="J45">
        <v>131</v>
      </c>
      <c r="K45" s="56" t="s">
        <v>150</v>
      </c>
    </row>
    <row r="46" spans="1:11" ht="15" x14ac:dyDescent="0.2">
      <c r="A46" s="64" t="s">
        <v>152</v>
      </c>
      <c r="B46" s="65" t="s">
        <v>153</v>
      </c>
      <c r="C46" s="66">
        <v>0.13350000000000001</v>
      </c>
      <c r="D46" s="67">
        <v>9</v>
      </c>
      <c r="E46" s="67">
        <v>0</v>
      </c>
      <c r="F46" s="67">
        <v>78</v>
      </c>
      <c r="G46" s="67">
        <v>0</v>
      </c>
      <c r="H46" s="67">
        <v>9</v>
      </c>
      <c r="I46" s="67">
        <v>45</v>
      </c>
      <c r="J46" s="67">
        <v>145</v>
      </c>
      <c r="K46" s="64" t="s">
        <v>152</v>
      </c>
    </row>
    <row r="47" spans="1:11" x14ac:dyDescent="0.2">
      <c r="A47" s="68" t="s">
        <v>43</v>
      </c>
      <c r="C47" s="55"/>
      <c r="D47" s="67"/>
      <c r="E47" s="67"/>
      <c r="F47" s="67"/>
      <c r="G47" s="67"/>
      <c r="H47" s="67"/>
      <c r="I47" s="67"/>
      <c r="J47" s="67"/>
      <c r="K47" s="67"/>
    </row>
    <row r="48" spans="1:11" x14ac:dyDescent="0.2">
      <c r="C48" s="69"/>
      <c r="D48" s="67"/>
      <c r="E48" s="67"/>
      <c r="F48" s="67"/>
      <c r="G48" s="67"/>
      <c r="H48" s="67"/>
      <c r="I48" s="67"/>
      <c r="J48" s="67"/>
      <c r="K48" s="67" t="s">
        <v>45</v>
      </c>
    </row>
    <row r="49" spans="1:11" x14ac:dyDescent="0.2">
      <c r="C49" s="60">
        <v>0.57100000000000006</v>
      </c>
      <c r="K49" t="s">
        <v>53</v>
      </c>
    </row>
    <row r="50" spans="1:11" x14ac:dyDescent="0.2">
      <c r="C50" s="55"/>
    </row>
    <row r="51" spans="1:11" x14ac:dyDescent="0.2">
      <c r="C51" s="69"/>
      <c r="D51" s="67"/>
      <c r="E51" s="67"/>
      <c r="F51" s="67"/>
      <c r="G51" s="67"/>
      <c r="H51" s="67"/>
      <c r="I51" s="67"/>
      <c r="J51" s="67"/>
      <c r="K51" s="67"/>
    </row>
    <row r="52" spans="1:11" x14ac:dyDescent="0.2">
      <c r="A52" t="s">
        <v>16</v>
      </c>
      <c r="C52" s="55"/>
    </row>
    <row r="53" spans="1:11" x14ac:dyDescent="0.2">
      <c r="A53" t="s">
        <v>24</v>
      </c>
      <c r="C53" s="55"/>
    </row>
    <row r="54" spans="1:11" x14ac:dyDescent="0.2">
      <c r="A54" t="s">
        <v>154</v>
      </c>
      <c r="C54" s="55"/>
    </row>
    <row r="55" spans="1:11" x14ac:dyDescent="0.2">
      <c r="C55" s="55"/>
    </row>
    <row r="56" spans="1:11" x14ac:dyDescent="0.2">
      <c r="C56" s="55"/>
    </row>
    <row r="57" spans="1:11" x14ac:dyDescent="0.2">
      <c r="C57" s="55"/>
    </row>
    <row r="58" spans="1:11" x14ac:dyDescent="0.2">
      <c r="C58" s="55"/>
    </row>
    <row r="59" spans="1:11" x14ac:dyDescent="0.2">
      <c r="C59" s="55"/>
    </row>
    <row r="60" spans="1:11" x14ac:dyDescent="0.2">
      <c r="C60" s="55"/>
    </row>
    <row r="61" spans="1:11" x14ac:dyDescent="0.2">
      <c r="C61" s="55"/>
    </row>
    <row r="62" spans="1:11" x14ac:dyDescent="0.2">
      <c r="C62" s="55"/>
    </row>
    <row r="63" spans="1:11" x14ac:dyDescent="0.2">
      <c r="C63" s="55"/>
    </row>
    <row r="64" spans="1:11" x14ac:dyDescent="0.2">
      <c r="C64" s="55"/>
    </row>
    <row r="65" spans="3:3" x14ac:dyDescent="0.2">
      <c r="C65" s="55"/>
    </row>
    <row r="66" spans="3:3" x14ac:dyDescent="0.2">
      <c r="C66" s="55"/>
    </row>
    <row r="67" spans="3:3" x14ac:dyDescent="0.2">
      <c r="C67" s="55"/>
    </row>
    <row r="68" spans="3:3" x14ac:dyDescent="0.2">
      <c r="C68" s="55"/>
    </row>
    <row r="69" spans="3:3" x14ac:dyDescent="0.2">
      <c r="C69" s="55"/>
    </row>
    <row r="70" spans="3:3" x14ac:dyDescent="0.2">
      <c r="C70" s="55"/>
    </row>
    <row r="71" spans="3:3" x14ac:dyDescent="0.2">
      <c r="C71" s="55"/>
    </row>
    <row r="72" spans="3:3" x14ac:dyDescent="0.2">
      <c r="C72" s="55"/>
    </row>
    <row r="73" spans="3:3" x14ac:dyDescent="0.2">
      <c r="C73" s="55"/>
    </row>
    <row r="74" spans="3:3" x14ac:dyDescent="0.2">
      <c r="C74" s="55"/>
    </row>
    <row r="75" spans="3:3" x14ac:dyDescent="0.2">
      <c r="C75" s="55"/>
    </row>
    <row r="76" spans="3:3" x14ac:dyDescent="0.2">
      <c r="C76" s="55"/>
    </row>
    <row r="77" spans="3:3" x14ac:dyDescent="0.2">
      <c r="C77" s="55"/>
    </row>
    <row r="78" spans="3:3" x14ac:dyDescent="0.2">
      <c r="C78" s="55"/>
    </row>
    <row r="79" spans="3:3" x14ac:dyDescent="0.2">
      <c r="C79" s="55"/>
    </row>
    <row r="80" spans="3:3" x14ac:dyDescent="0.2">
      <c r="C80" s="55"/>
    </row>
    <row r="81" spans="3:3" x14ac:dyDescent="0.2">
      <c r="C81" s="55"/>
    </row>
    <row r="82" spans="3:3" x14ac:dyDescent="0.2">
      <c r="C82" s="55"/>
    </row>
    <row r="83" spans="3:3" x14ac:dyDescent="0.2">
      <c r="C83" s="55"/>
    </row>
    <row r="84" spans="3:3" x14ac:dyDescent="0.2">
      <c r="C84" s="55"/>
    </row>
    <row r="85" spans="3:3" x14ac:dyDescent="0.2">
      <c r="C85" s="55"/>
    </row>
    <row r="86" spans="3:3" x14ac:dyDescent="0.2">
      <c r="C86" s="55"/>
    </row>
    <row r="87" spans="3:3" x14ac:dyDescent="0.2">
      <c r="C87" s="55"/>
    </row>
    <row r="88" spans="3:3" x14ac:dyDescent="0.2">
      <c r="C88" s="55"/>
    </row>
    <row r="89" spans="3:3" x14ac:dyDescent="0.2">
      <c r="C89" s="55"/>
    </row>
    <row r="90" spans="3:3" x14ac:dyDescent="0.2">
      <c r="C90" s="55"/>
    </row>
    <row r="91" spans="3:3" x14ac:dyDescent="0.2">
      <c r="C91" s="55"/>
    </row>
    <row r="92" spans="3:3" x14ac:dyDescent="0.2">
      <c r="C92" s="55"/>
    </row>
    <row r="93" spans="3:3" x14ac:dyDescent="0.2">
      <c r="C93" s="55"/>
    </row>
    <row r="94" spans="3:3" x14ac:dyDescent="0.2">
      <c r="C94" s="55"/>
    </row>
    <row r="95" spans="3:3" x14ac:dyDescent="0.2">
      <c r="C95" s="55"/>
    </row>
    <row r="96" spans="3:3" x14ac:dyDescent="0.2">
      <c r="C96" s="55"/>
    </row>
    <row r="97" spans="3:3" x14ac:dyDescent="0.2">
      <c r="C97" s="55"/>
    </row>
    <row r="98" spans="3:3" x14ac:dyDescent="0.2">
      <c r="C98" s="55"/>
    </row>
    <row r="99" spans="3:3" x14ac:dyDescent="0.2">
      <c r="C99" s="55"/>
    </row>
    <row r="100" spans="3:3" x14ac:dyDescent="0.2">
      <c r="C100" s="55"/>
    </row>
    <row r="101" spans="3:3" x14ac:dyDescent="0.2">
      <c r="C101" s="55"/>
    </row>
    <row r="102" spans="3:3" x14ac:dyDescent="0.2">
      <c r="C102" s="55"/>
    </row>
    <row r="103" spans="3:3" x14ac:dyDescent="0.2">
      <c r="C103" s="55"/>
    </row>
    <row r="104" spans="3:3" x14ac:dyDescent="0.2">
      <c r="C104" s="55"/>
    </row>
    <row r="105" spans="3:3" x14ac:dyDescent="0.2">
      <c r="C105" s="55"/>
    </row>
    <row r="106" spans="3:3" x14ac:dyDescent="0.2">
      <c r="C106" s="55"/>
    </row>
    <row r="107" spans="3:3" x14ac:dyDescent="0.2">
      <c r="C107" s="55"/>
    </row>
    <row r="108" spans="3:3" x14ac:dyDescent="0.2">
      <c r="C108" s="55"/>
    </row>
    <row r="109" spans="3:3" x14ac:dyDescent="0.2">
      <c r="C109" s="55"/>
    </row>
    <row r="110" spans="3:3" x14ac:dyDescent="0.2">
      <c r="C110" s="55"/>
    </row>
    <row r="111" spans="3:3" x14ac:dyDescent="0.2">
      <c r="C111" s="55"/>
    </row>
    <row r="112" spans="3:3" x14ac:dyDescent="0.2">
      <c r="C112" s="55"/>
    </row>
    <row r="113" spans="3:3" x14ac:dyDescent="0.2">
      <c r="C113" s="55"/>
    </row>
    <row r="114" spans="3:3" x14ac:dyDescent="0.2">
      <c r="C114" s="55"/>
    </row>
    <row r="115" spans="3:3" x14ac:dyDescent="0.2">
      <c r="C115" s="55"/>
    </row>
    <row r="116" spans="3:3" x14ac:dyDescent="0.2">
      <c r="C116" s="55"/>
    </row>
    <row r="117" spans="3:3" x14ac:dyDescent="0.2">
      <c r="C117" s="55"/>
    </row>
    <row r="118" spans="3:3" x14ac:dyDescent="0.2">
      <c r="C118" s="55"/>
    </row>
    <row r="119" spans="3:3" x14ac:dyDescent="0.2">
      <c r="C119" s="55"/>
    </row>
    <row r="120" spans="3:3" x14ac:dyDescent="0.2">
      <c r="C120" s="55"/>
    </row>
    <row r="121" spans="3:3" x14ac:dyDescent="0.2">
      <c r="C121" s="55"/>
    </row>
    <row r="122" spans="3:3" x14ac:dyDescent="0.2">
      <c r="C122" s="55"/>
    </row>
    <row r="123" spans="3:3" x14ac:dyDescent="0.2">
      <c r="C123" s="55"/>
    </row>
    <row r="124" spans="3:3" x14ac:dyDescent="0.2">
      <c r="C124" s="55"/>
    </row>
    <row r="125" spans="3:3" x14ac:dyDescent="0.2">
      <c r="C125" s="55"/>
    </row>
    <row r="126" spans="3:3" x14ac:dyDescent="0.2">
      <c r="C126" s="55"/>
    </row>
    <row r="127" spans="3:3" x14ac:dyDescent="0.2">
      <c r="C127" s="55"/>
    </row>
    <row r="128" spans="3:3" x14ac:dyDescent="0.2">
      <c r="C128" s="55"/>
    </row>
    <row r="129" spans="3:3" x14ac:dyDescent="0.2">
      <c r="C129" s="55"/>
    </row>
    <row r="130" spans="3:3" x14ac:dyDescent="0.2">
      <c r="C130" s="55"/>
    </row>
    <row r="131" spans="3:3" x14ac:dyDescent="0.2">
      <c r="C131" s="55"/>
    </row>
    <row r="132" spans="3:3" x14ac:dyDescent="0.2">
      <c r="C132" s="55"/>
    </row>
    <row r="133" spans="3:3" x14ac:dyDescent="0.2">
      <c r="C133" s="55"/>
    </row>
    <row r="134" spans="3:3" x14ac:dyDescent="0.2">
      <c r="C134" s="55"/>
    </row>
    <row r="135" spans="3:3" x14ac:dyDescent="0.2">
      <c r="C135" s="55"/>
    </row>
    <row r="136" spans="3:3" x14ac:dyDescent="0.2">
      <c r="C136" s="55"/>
    </row>
    <row r="137" spans="3:3" x14ac:dyDescent="0.2">
      <c r="C137" s="55"/>
    </row>
    <row r="138" spans="3:3" x14ac:dyDescent="0.2">
      <c r="C138" s="55"/>
    </row>
    <row r="139" spans="3:3" x14ac:dyDescent="0.2">
      <c r="C139" s="55"/>
    </row>
    <row r="140" spans="3:3" x14ac:dyDescent="0.2">
      <c r="C140" s="55"/>
    </row>
    <row r="141" spans="3:3" x14ac:dyDescent="0.2">
      <c r="C141" s="55"/>
    </row>
    <row r="142" spans="3:3" x14ac:dyDescent="0.2">
      <c r="C142" s="55"/>
    </row>
  </sheetData>
  <sheetProtection password="EDD5" sheet="1" objects="1" scenarios="1"/>
  <pageMargins left="0.78749999999999998" right="0.78749999999999998" top="1.0249999999999999" bottom="1.0249999999999999" header="0.78749999999999998" footer="0.78749999999999998"/>
  <pageSetup paperSize="9" orientation="portrait" useFirstPageNumber="1" horizontalDpi="300" verticalDpi="300" r:id="rId1"/>
  <headerFooter alignWithMargins="0">
    <oddHeader>&amp;C&amp;A</oddHeader>
    <oddFooter>&amp;CSeite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zoomScale="75" zoomScaleNormal="75" workbookViewId="0">
      <selection activeCell="A26" sqref="A26"/>
    </sheetView>
  </sheetViews>
  <sheetFormatPr baseColWidth="10" defaultColWidth="11.5703125" defaultRowHeight="12.75" x14ac:dyDescent="0.2"/>
  <cols>
    <col min="1" max="1" width="8.5703125" style="1" customWidth="1"/>
    <col min="2" max="2" width="18.140625" style="1" customWidth="1"/>
    <col min="3" max="3" width="37" style="1" customWidth="1"/>
    <col min="4" max="4" width="23.140625" style="1" customWidth="1"/>
    <col min="5" max="5" width="22.42578125" style="1" customWidth="1"/>
    <col min="6" max="6" width="24.42578125" style="1" customWidth="1"/>
    <col min="7" max="7" width="24.140625" style="1" customWidth="1"/>
    <col min="8" max="8" width="19.28515625" style="1" customWidth="1"/>
    <col min="9" max="9" width="25.7109375" style="1" customWidth="1"/>
    <col min="10" max="16384" width="11.5703125" style="1"/>
  </cols>
  <sheetData>
    <row r="1" spans="1:9" x14ac:dyDescent="0.2">
      <c r="A1" s="2" t="s">
        <v>155</v>
      </c>
      <c r="C1" s="1" t="s">
        <v>156</v>
      </c>
      <c r="D1" s="1" t="s">
        <v>157</v>
      </c>
      <c r="E1" s="1" t="s">
        <v>158</v>
      </c>
      <c r="F1" s="1" t="s">
        <v>157</v>
      </c>
    </row>
    <row r="3" spans="1:9" x14ac:dyDescent="0.2">
      <c r="A3" s="70">
        <f>IF(Rezeptdruck!E8="","",Rezeptdruck!E8)</f>
        <v>87.5</v>
      </c>
      <c r="B3" s="71" t="str">
        <f>IF(A3="","",Rezeptdruck!B8)</f>
        <v>Wasser</v>
      </c>
      <c r="C3" s="71" t="str">
        <f>IF(B3="","",Rezeptdruck!C8)</f>
        <v>Aqua</v>
      </c>
      <c r="D3" s="1">
        <f t="shared" ref="D3:D26" si="0">IF(A3="",0,A3+ROW(A3)/1000)</f>
        <v>87.503</v>
      </c>
      <c r="E3" s="72">
        <f>INDEX($A$3:$A$26,MATCH(F3,$D$3:$D$26,0))</f>
        <v>100</v>
      </c>
      <c r="F3" s="1">
        <f>LARGE($D$3:$D$26,ROWS($F$3:F3))</f>
        <v>100.01300000000001</v>
      </c>
      <c r="G3" s="73">
        <f>MATCH(F3,$D$1:$D$26,0)</f>
        <v>13</v>
      </c>
      <c r="H3" s="1" t="str">
        <f>INDEX($B$1:$B$26,G3)</f>
        <v>Avocadoöl</v>
      </c>
      <c r="I3" s="1" t="str">
        <f>INDEX($C$1:$C$26,G3)</f>
        <v>Persea Gratissima (Avocado) Oil</v>
      </c>
    </row>
    <row r="4" spans="1:9" x14ac:dyDescent="0.2">
      <c r="A4" s="70" t="str">
        <f>IF(Rezeptdruck!E9="","",Rezeptdruck!E9)</f>
        <v/>
      </c>
      <c r="B4" s="71" t="str">
        <f>IF(A4="","",Rezeptdruck!B9)</f>
        <v/>
      </c>
      <c r="C4" s="71" t="str">
        <f>IF(B4="","",Rezeptdruck!C9)</f>
        <v/>
      </c>
      <c r="D4" s="1">
        <f t="shared" si="0"/>
        <v>0</v>
      </c>
      <c r="E4" s="72">
        <f t="shared" ref="E4:E26" si="1">INDEX($A$3:$A$26,MATCH(F4,$D$3:$D$26,0))</f>
        <v>87.5</v>
      </c>
      <c r="F4" s="1">
        <f>LARGE($D$3:$D$26,ROWS($F$3:F4))</f>
        <v>87.503</v>
      </c>
      <c r="G4" s="73">
        <f t="shared" ref="G4:G26" si="2">MATCH(F4,$D$1:$D$26,0)</f>
        <v>3</v>
      </c>
      <c r="H4" s="1" t="str">
        <f t="shared" ref="H4:H26" si="3">INDEX($B$1:$B$26,G4)</f>
        <v>Wasser</v>
      </c>
      <c r="I4" s="1" t="str">
        <f t="shared" ref="I4:I26" si="4">INDEX($C$1:$C$26,G4)</f>
        <v>Aqua</v>
      </c>
    </row>
    <row r="5" spans="1:9" x14ac:dyDescent="0.2">
      <c r="A5" s="70">
        <f>IF(Rezeptdruck!E10="","",Rezeptdruck!E10)</f>
        <v>22.867337499999998</v>
      </c>
      <c r="B5" s="71" t="str">
        <f>IF(A5="","",Rezeptdruck!B10)</f>
        <v>NaOH</v>
      </c>
      <c r="C5" s="71" t="str">
        <f>IF(B5="","",Rezeptdruck!C10)</f>
        <v>Sodium Hydroxide</v>
      </c>
      <c r="D5" s="1">
        <f t="shared" si="0"/>
        <v>22.872337499999997</v>
      </c>
      <c r="E5" s="72">
        <f t="shared" si="1"/>
        <v>50</v>
      </c>
      <c r="F5" s="1">
        <f>LARGE($D$3:$D$26,ROWS($F$3:F5))</f>
        <v>50.012</v>
      </c>
      <c r="G5" s="73">
        <f t="shared" si="2"/>
        <v>12</v>
      </c>
      <c r="H5" s="1" t="str">
        <f t="shared" si="3"/>
        <v>Kokosöl</v>
      </c>
      <c r="I5" s="1" t="str">
        <f t="shared" si="4"/>
        <v>Cocos Nucifera (Coconut) Oil</v>
      </c>
    </row>
    <row r="6" spans="1:9" x14ac:dyDescent="0.2">
      <c r="A6" s="70">
        <f>IF(Rezeptdruck!E11="","",Rezeptdruck!E11)</f>
        <v>15.275381450000003</v>
      </c>
      <c r="B6" s="71" t="str">
        <f>IF(A6="","",Rezeptdruck!B11)</f>
        <v>KOH</v>
      </c>
      <c r="C6" s="71" t="str">
        <f>IF(B6="","",Rezeptdruck!C11)</f>
        <v>Potassium Hydroxide</v>
      </c>
      <c r="D6" s="1">
        <f t="shared" si="0"/>
        <v>15.281381450000003</v>
      </c>
      <c r="E6" s="72">
        <f t="shared" si="1"/>
        <v>50</v>
      </c>
      <c r="F6" s="1">
        <f>LARGE($D$3:$D$26,ROWS($F$3:F6))</f>
        <v>50.011000000000003</v>
      </c>
      <c r="G6" s="73">
        <f t="shared" si="2"/>
        <v>11</v>
      </c>
      <c r="H6" s="1" t="str">
        <f t="shared" si="3"/>
        <v>Babassu</v>
      </c>
      <c r="I6" s="1" t="str">
        <f t="shared" si="4"/>
        <v>Orbignya Oleifera (Babassu) Seed Oil</v>
      </c>
    </row>
    <row r="7" spans="1:9" x14ac:dyDescent="0.2">
      <c r="A7" s="70">
        <f>IF(Rezeptdruck!E12="","",Rezeptdruck!E12)</f>
        <v>7.5</v>
      </c>
      <c r="B7" s="71" t="str">
        <f>IF(A7="","",Rezeptdruck!B12)</f>
        <v>Duft</v>
      </c>
      <c r="C7" s="71">
        <f>IF(B7="","",Rezeptdruck!C12)</f>
        <v>0</v>
      </c>
      <c r="D7" s="1">
        <f t="shared" si="0"/>
        <v>7.5069999999999997</v>
      </c>
      <c r="E7" s="72">
        <f t="shared" si="1"/>
        <v>25</v>
      </c>
      <c r="F7" s="1">
        <f>LARGE($D$3:$D$26,ROWS($F$3:F7))</f>
        <v>25.013999999999999</v>
      </c>
      <c r="G7" s="73">
        <f t="shared" si="2"/>
        <v>14</v>
      </c>
      <c r="H7" s="1" t="str">
        <f t="shared" si="3"/>
        <v>Olivenöl</v>
      </c>
      <c r="I7" s="1" t="str">
        <f t="shared" si="4"/>
        <v>Olea Europaea (Olive) Fruit Oil</v>
      </c>
    </row>
    <row r="8" spans="1:9" x14ac:dyDescent="0.2">
      <c r="A8" s="70" t="str">
        <f>IF(Rezeptdruck!E13="","",Rezeptdruck!E13)</f>
        <v/>
      </c>
      <c r="B8" s="71" t="str">
        <f>IF(A8="","",Rezeptdruck!B13)</f>
        <v/>
      </c>
      <c r="C8" s="71" t="str">
        <f>IF(B8="","",Rezeptdruck!C13)</f>
        <v/>
      </c>
      <c r="D8" s="1">
        <f t="shared" si="0"/>
        <v>0</v>
      </c>
      <c r="E8" s="72">
        <f t="shared" si="1"/>
        <v>22.867337499999998</v>
      </c>
      <c r="F8" s="1">
        <f>LARGE($D$3:$D$26,ROWS($F$3:F8))</f>
        <v>22.872337499999997</v>
      </c>
      <c r="G8" s="73">
        <f t="shared" si="2"/>
        <v>5</v>
      </c>
      <c r="H8" s="1" t="str">
        <f t="shared" si="3"/>
        <v>NaOH</v>
      </c>
      <c r="I8" s="1" t="str">
        <f t="shared" si="4"/>
        <v>Sodium Hydroxide</v>
      </c>
    </row>
    <row r="9" spans="1:9" x14ac:dyDescent="0.2">
      <c r="A9" s="70" t="str">
        <f>IF(Rezeptdruck!E14="","",Rezeptdruck!E14)</f>
        <v/>
      </c>
      <c r="B9" s="71" t="str">
        <f>IF(A9="","",Rezeptdruck!B14)</f>
        <v/>
      </c>
      <c r="C9" s="71" t="str">
        <f>IF(B9="","",Rezeptdruck!C14)</f>
        <v/>
      </c>
      <c r="D9" s="1">
        <f t="shared" si="0"/>
        <v>0</v>
      </c>
      <c r="E9" s="72">
        <f t="shared" si="1"/>
        <v>15.275381450000003</v>
      </c>
      <c r="F9" s="1">
        <f>LARGE($D$3:$D$26,ROWS($F$3:F9))</f>
        <v>15.281381450000003</v>
      </c>
      <c r="G9" s="73">
        <f t="shared" si="2"/>
        <v>6</v>
      </c>
      <c r="H9" s="1" t="str">
        <f t="shared" si="3"/>
        <v>KOH</v>
      </c>
      <c r="I9" s="1" t="str">
        <f t="shared" si="4"/>
        <v>Potassium Hydroxide</v>
      </c>
    </row>
    <row r="10" spans="1:9" x14ac:dyDescent="0.2">
      <c r="A10" s="70">
        <f>IF(Rezeptdruck!E16="",0,Rezeptdruck!E16)</f>
        <v>12.5</v>
      </c>
      <c r="B10" s="71" t="str">
        <f>IF(A10=0,"",Rezeptdruck!B16)</f>
        <v>Weizenkeimöl</v>
      </c>
      <c r="C10" s="74">
        <f>IF(A10=0,"",Rezeptdruck!C16)</f>
        <v>0</v>
      </c>
      <c r="D10" s="1">
        <f t="shared" si="0"/>
        <v>12.51</v>
      </c>
      <c r="E10" s="72">
        <f t="shared" si="1"/>
        <v>12.5</v>
      </c>
      <c r="F10" s="1">
        <f>LARGE($D$3:$D$26,ROWS($F$3:F10))</f>
        <v>12.515000000000001</v>
      </c>
      <c r="G10" s="73">
        <f t="shared" si="2"/>
        <v>15</v>
      </c>
      <c r="H10" s="1" t="str">
        <f t="shared" si="3"/>
        <v>Myristinsäure</v>
      </c>
      <c r="I10" s="1" t="str">
        <f t="shared" si="4"/>
        <v>Myristic Acids</v>
      </c>
    </row>
    <row r="11" spans="1:9" x14ac:dyDescent="0.2">
      <c r="A11" s="70">
        <f>IF(Rezeptdruck!E17="",0,Rezeptdruck!E17)</f>
        <v>50</v>
      </c>
      <c r="B11" s="71" t="str">
        <f>IF(A11=0,"",Rezeptdruck!B17)</f>
        <v>Babassu</v>
      </c>
      <c r="C11" s="74" t="str">
        <f>IF(A11=0,"",Rezeptdruck!C17)</f>
        <v>Orbignya Oleifera (Babassu) Seed Oil</v>
      </c>
      <c r="D11" s="1">
        <f t="shared" si="0"/>
        <v>50.011000000000003</v>
      </c>
      <c r="E11" s="72">
        <f t="shared" si="1"/>
        <v>12.5</v>
      </c>
      <c r="F11" s="1">
        <f>LARGE($D$3:$D$26,ROWS($F$3:F11))</f>
        <v>12.51</v>
      </c>
      <c r="G11" s="73">
        <f t="shared" si="2"/>
        <v>10</v>
      </c>
      <c r="H11" s="1" t="str">
        <f t="shared" si="3"/>
        <v>Weizenkeimöl</v>
      </c>
      <c r="I11" s="1">
        <f t="shared" si="4"/>
        <v>0</v>
      </c>
    </row>
    <row r="12" spans="1:9" x14ac:dyDescent="0.2">
      <c r="A12" s="70">
        <f>IF(Rezeptdruck!E18="",0,Rezeptdruck!E18)</f>
        <v>50</v>
      </c>
      <c r="B12" s="71" t="str">
        <f>IF(A12=0,"",Rezeptdruck!B18)</f>
        <v>Kokosöl</v>
      </c>
      <c r="C12" s="74" t="str">
        <f>IF(A12=0,"",Rezeptdruck!C18)</f>
        <v>Cocos Nucifera (Coconut) Oil</v>
      </c>
      <c r="D12" s="1">
        <f t="shared" si="0"/>
        <v>50.012</v>
      </c>
      <c r="E12" s="72">
        <f t="shared" si="1"/>
        <v>7.5</v>
      </c>
      <c r="F12" s="1">
        <f>LARGE($D$3:$D$26,ROWS($F$3:F12))</f>
        <v>7.5069999999999997</v>
      </c>
      <c r="G12" s="73">
        <f t="shared" si="2"/>
        <v>7</v>
      </c>
      <c r="H12" s="1" t="str">
        <f t="shared" si="3"/>
        <v>Duft</v>
      </c>
      <c r="I12" s="1">
        <f t="shared" si="4"/>
        <v>0</v>
      </c>
    </row>
    <row r="13" spans="1:9" x14ac:dyDescent="0.2">
      <c r="A13" s="70">
        <f>IF(Rezeptdruck!E19="",0,Rezeptdruck!E19)</f>
        <v>100</v>
      </c>
      <c r="B13" s="71" t="str">
        <f>IF(A13=0,"",Rezeptdruck!B19)</f>
        <v>Avocadoöl</v>
      </c>
      <c r="C13" s="74" t="str">
        <f>IF(A13=0,"",Rezeptdruck!C19)</f>
        <v>Persea Gratissima (Avocado) Oil</v>
      </c>
      <c r="D13" s="1">
        <f t="shared" si="0"/>
        <v>100.01300000000001</v>
      </c>
      <c r="E13" s="72">
        <f t="shared" si="1"/>
        <v>0</v>
      </c>
      <c r="F13" s="1">
        <f>LARGE($D$3:$D$26,ROWS($F$3:F13))</f>
        <v>2.5999999999999999E-2</v>
      </c>
      <c r="G13" s="73">
        <f t="shared" si="2"/>
        <v>26</v>
      </c>
      <c r="H13" s="1" t="str">
        <f t="shared" si="3"/>
        <v/>
      </c>
      <c r="I13" s="1" t="str">
        <f t="shared" si="4"/>
        <v/>
      </c>
    </row>
    <row r="14" spans="1:9" x14ac:dyDescent="0.2">
      <c r="A14" s="70">
        <f>IF(Rezeptdruck!E20="",0,Rezeptdruck!E20)</f>
        <v>25</v>
      </c>
      <c r="B14" s="71" t="str">
        <f>IF(A14=0,"",Rezeptdruck!B20)</f>
        <v>Olivenöl</v>
      </c>
      <c r="C14" s="74" t="str">
        <f>IF(A14=0,"",Rezeptdruck!C20)</f>
        <v>Olea Europaea (Olive) Fruit Oil</v>
      </c>
      <c r="D14" s="1">
        <f t="shared" si="0"/>
        <v>25.013999999999999</v>
      </c>
      <c r="E14" s="72">
        <f t="shared" si="1"/>
        <v>0</v>
      </c>
      <c r="F14" s="1">
        <f>LARGE($D$3:$D$26,ROWS($F$3:F14))</f>
        <v>2.5000000000000001E-2</v>
      </c>
      <c r="G14" s="73">
        <f t="shared" si="2"/>
        <v>25</v>
      </c>
      <c r="H14" s="1" t="str">
        <f t="shared" si="3"/>
        <v/>
      </c>
      <c r="I14" s="1" t="str">
        <f t="shared" si="4"/>
        <v/>
      </c>
    </row>
    <row r="15" spans="1:9" x14ac:dyDescent="0.2">
      <c r="A15" s="70">
        <f>IF(Rezeptdruck!E21="",0,Rezeptdruck!E21)</f>
        <v>12.5</v>
      </c>
      <c r="B15" s="71" t="str">
        <f>IF(A15=0,"",Rezeptdruck!B21)</f>
        <v>Myristinsäure</v>
      </c>
      <c r="C15" s="74" t="str">
        <f>IF(A15=0,"",Rezeptdruck!C21)</f>
        <v>Myristic Acids</v>
      </c>
      <c r="D15" s="1">
        <f t="shared" si="0"/>
        <v>12.515000000000001</v>
      </c>
      <c r="E15" s="72">
        <f t="shared" si="1"/>
        <v>0</v>
      </c>
      <c r="F15" s="1">
        <f>LARGE($D$3:$D$26,ROWS($F$3:F15))</f>
        <v>2.4E-2</v>
      </c>
      <c r="G15" s="73">
        <f t="shared" si="2"/>
        <v>24</v>
      </c>
      <c r="H15" s="1" t="str">
        <f t="shared" si="3"/>
        <v/>
      </c>
      <c r="I15" s="1" t="str">
        <f t="shared" si="4"/>
        <v/>
      </c>
    </row>
    <row r="16" spans="1:9" x14ac:dyDescent="0.2">
      <c r="A16" s="70">
        <f>IF(Rezeptdruck!E22="",0,Rezeptdruck!E22)</f>
        <v>0</v>
      </c>
      <c r="B16" s="71" t="str">
        <f>IF(A16=0,"",Rezeptdruck!B22)</f>
        <v/>
      </c>
      <c r="C16" s="74" t="str">
        <f>IF(A16=0,"",Rezeptdruck!C22)</f>
        <v/>
      </c>
      <c r="D16" s="1">
        <f t="shared" si="0"/>
        <v>1.6E-2</v>
      </c>
      <c r="E16" s="72">
        <f t="shared" si="1"/>
        <v>0</v>
      </c>
      <c r="F16" s="1">
        <f>LARGE($D$3:$D$26,ROWS($F$3:F16))</f>
        <v>2.3E-2</v>
      </c>
      <c r="G16" s="73">
        <f t="shared" si="2"/>
        <v>23</v>
      </c>
      <c r="H16" s="1" t="str">
        <f t="shared" si="3"/>
        <v/>
      </c>
      <c r="I16" s="1" t="str">
        <f t="shared" si="4"/>
        <v/>
      </c>
    </row>
    <row r="17" spans="1:9" x14ac:dyDescent="0.2">
      <c r="A17" s="70">
        <f>IF(Rezeptdruck!E23="",0,Rezeptdruck!E23)</f>
        <v>0</v>
      </c>
      <c r="B17" s="71" t="str">
        <f>IF(A17=0,"",Rezeptdruck!B23)</f>
        <v/>
      </c>
      <c r="C17" s="74" t="str">
        <f>IF(A17=0,"",Rezeptdruck!C23)</f>
        <v/>
      </c>
      <c r="D17" s="1">
        <f t="shared" si="0"/>
        <v>1.7000000000000001E-2</v>
      </c>
      <c r="E17" s="72">
        <f t="shared" si="1"/>
        <v>0</v>
      </c>
      <c r="F17" s="1">
        <f>LARGE($D$3:$D$26,ROWS($F$3:F17))</f>
        <v>2.1999999999999999E-2</v>
      </c>
      <c r="G17" s="73">
        <f t="shared" si="2"/>
        <v>22</v>
      </c>
      <c r="H17" s="1" t="str">
        <f t="shared" si="3"/>
        <v/>
      </c>
      <c r="I17" s="1" t="str">
        <f t="shared" si="4"/>
        <v/>
      </c>
    </row>
    <row r="18" spans="1:9" x14ac:dyDescent="0.2">
      <c r="A18" s="70">
        <f>IF(Rezeptdruck!E24="",0,Rezeptdruck!E24)</f>
        <v>0</v>
      </c>
      <c r="B18" s="71" t="str">
        <f>IF(A18=0,"",Rezeptdruck!B24)</f>
        <v/>
      </c>
      <c r="C18" s="74" t="str">
        <f>IF(A18=0,"",Rezeptdruck!C24)</f>
        <v/>
      </c>
      <c r="D18" s="1">
        <f t="shared" si="0"/>
        <v>1.7999999999999999E-2</v>
      </c>
      <c r="E18" s="72">
        <f t="shared" si="1"/>
        <v>0</v>
      </c>
      <c r="F18" s="1">
        <f>LARGE($D$3:$D$26,ROWS($F$3:F18))</f>
        <v>2.1000000000000001E-2</v>
      </c>
      <c r="G18" s="73">
        <f t="shared" si="2"/>
        <v>21</v>
      </c>
      <c r="H18" s="1" t="str">
        <f t="shared" si="3"/>
        <v/>
      </c>
      <c r="I18" s="1" t="str">
        <f t="shared" si="4"/>
        <v/>
      </c>
    </row>
    <row r="19" spans="1:9" x14ac:dyDescent="0.2">
      <c r="A19" s="70">
        <f>IF(Rezeptdruck!E25="",0,Rezeptdruck!E25)</f>
        <v>0</v>
      </c>
      <c r="B19" s="71" t="str">
        <f>IF(A19=0,"",Rezeptdruck!B25)</f>
        <v/>
      </c>
      <c r="C19" s="74" t="str">
        <f>IF(A19=0,"",Rezeptdruck!C25)</f>
        <v/>
      </c>
      <c r="D19" s="1">
        <f t="shared" si="0"/>
        <v>1.9E-2</v>
      </c>
      <c r="E19" s="72">
        <f t="shared" si="1"/>
        <v>0</v>
      </c>
      <c r="F19" s="1">
        <f>LARGE($D$3:$D$26,ROWS($F$3:F19))</f>
        <v>0.02</v>
      </c>
      <c r="G19" s="73">
        <f t="shared" si="2"/>
        <v>20</v>
      </c>
      <c r="H19" s="1" t="str">
        <f t="shared" si="3"/>
        <v/>
      </c>
      <c r="I19" s="1" t="str">
        <f t="shared" si="4"/>
        <v/>
      </c>
    </row>
    <row r="20" spans="1:9" x14ac:dyDescent="0.2">
      <c r="A20" s="70">
        <f>IF(Rezeptdruck!E27="",0,Rezeptdruck!E27)</f>
        <v>0</v>
      </c>
      <c r="B20" s="71" t="str">
        <f>IF(A20=0,"",Rezeptdruck!B27)</f>
        <v/>
      </c>
      <c r="C20" s="74" t="str">
        <f>IF(A20=0,"",Rezeptdruck!C27)</f>
        <v/>
      </c>
      <c r="D20" s="1">
        <f t="shared" si="0"/>
        <v>0.02</v>
      </c>
      <c r="E20" s="72">
        <f t="shared" si="1"/>
        <v>0</v>
      </c>
      <c r="F20" s="1">
        <f>LARGE($D$3:$D$26,ROWS($F$3:F20))</f>
        <v>1.9E-2</v>
      </c>
      <c r="G20" s="73">
        <f t="shared" si="2"/>
        <v>19</v>
      </c>
      <c r="H20" s="1" t="str">
        <f t="shared" si="3"/>
        <v/>
      </c>
      <c r="I20" s="1" t="str">
        <f t="shared" si="4"/>
        <v/>
      </c>
    </row>
    <row r="21" spans="1:9" x14ac:dyDescent="0.2">
      <c r="A21" s="70">
        <f>IF(Rezeptdruck!E28="",0,Rezeptdruck!E28)</f>
        <v>0</v>
      </c>
      <c r="B21" s="71" t="str">
        <f>IF(A21=0,"",Rezeptdruck!B28)</f>
        <v/>
      </c>
      <c r="C21" s="74" t="str">
        <f>IF(A21=0,"",Rezeptdruck!C28)</f>
        <v/>
      </c>
      <c r="D21" s="1">
        <f t="shared" si="0"/>
        <v>2.1000000000000001E-2</v>
      </c>
      <c r="E21" s="72">
        <f t="shared" si="1"/>
        <v>0</v>
      </c>
      <c r="F21" s="1">
        <f>LARGE($D$3:$D$26,ROWS($F$3:F21))</f>
        <v>1.7999999999999999E-2</v>
      </c>
      <c r="G21" s="73">
        <f t="shared" si="2"/>
        <v>18</v>
      </c>
      <c r="H21" s="1" t="str">
        <f t="shared" si="3"/>
        <v/>
      </c>
      <c r="I21" s="1" t="str">
        <f t="shared" si="4"/>
        <v/>
      </c>
    </row>
    <row r="22" spans="1:9" x14ac:dyDescent="0.2">
      <c r="A22" s="70">
        <f>IF(Rezeptdruck!E29="",0,Rezeptdruck!E29)</f>
        <v>0</v>
      </c>
      <c r="B22" s="71" t="str">
        <f>IF(A22=0,"",Rezeptdruck!B29)</f>
        <v/>
      </c>
      <c r="C22" s="74" t="str">
        <f>IF(A22=0,"",Rezeptdruck!C29)</f>
        <v/>
      </c>
      <c r="D22" s="1">
        <f t="shared" si="0"/>
        <v>2.1999999999999999E-2</v>
      </c>
      <c r="E22" s="72">
        <f t="shared" si="1"/>
        <v>0</v>
      </c>
      <c r="F22" s="1">
        <f>LARGE($D$3:$D$26,ROWS($F$3:F22))</f>
        <v>1.7000000000000001E-2</v>
      </c>
      <c r="G22" s="73">
        <f t="shared" si="2"/>
        <v>17</v>
      </c>
      <c r="H22" s="1" t="str">
        <f t="shared" si="3"/>
        <v/>
      </c>
      <c r="I22" s="1" t="str">
        <f t="shared" si="4"/>
        <v/>
      </c>
    </row>
    <row r="23" spans="1:9" x14ac:dyDescent="0.2">
      <c r="A23" s="70">
        <f>IF(Rezeptdruck!E30="",0,Rezeptdruck!E30)</f>
        <v>0</v>
      </c>
      <c r="B23" s="71" t="str">
        <f>IF(A23=0,"",Rezeptdruck!B30)</f>
        <v/>
      </c>
      <c r="C23" s="74" t="str">
        <f>IF(A23=0,"",Rezeptdruck!C30)</f>
        <v/>
      </c>
      <c r="D23" s="1">
        <f t="shared" si="0"/>
        <v>2.3E-2</v>
      </c>
      <c r="E23" s="72">
        <f t="shared" si="1"/>
        <v>0</v>
      </c>
      <c r="F23" s="1">
        <f>LARGE($D$3:$D$26,ROWS($F$3:F23))</f>
        <v>1.6E-2</v>
      </c>
      <c r="G23" s="73">
        <f t="shared" si="2"/>
        <v>16</v>
      </c>
      <c r="H23" s="1" t="str">
        <f t="shared" si="3"/>
        <v/>
      </c>
      <c r="I23" s="1" t="str">
        <f t="shared" si="4"/>
        <v/>
      </c>
    </row>
    <row r="24" spans="1:9" x14ac:dyDescent="0.2">
      <c r="A24" s="70">
        <f>IF(Rezeptdruck!E31="",0,Rezeptdruck!E31)</f>
        <v>0</v>
      </c>
      <c r="B24" s="71" t="str">
        <f>IF(A24=0,"",Rezeptdruck!B31)</f>
        <v/>
      </c>
      <c r="C24" s="74" t="str">
        <f>IF(A24=0,"",Rezeptdruck!C31)</f>
        <v/>
      </c>
      <c r="D24" s="1">
        <f t="shared" si="0"/>
        <v>2.4E-2</v>
      </c>
      <c r="E24" s="72" t="str">
        <f t="shared" si="1"/>
        <v/>
      </c>
      <c r="F24" s="1">
        <f>LARGE($D$3:$D$26,ROWS($F$3:F24))</f>
        <v>0</v>
      </c>
      <c r="G24" s="73">
        <f t="shared" si="2"/>
        <v>4</v>
      </c>
      <c r="H24" s="1" t="str">
        <f t="shared" si="3"/>
        <v/>
      </c>
      <c r="I24" s="1" t="str">
        <f t="shared" si="4"/>
        <v/>
      </c>
    </row>
    <row r="25" spans="1:9" x14ac:dyDescent="0.2">
      <c r="A25" s="70">
        <f>IF(Rezeptdruck!E32="",0,Rezeptdruck!E32)</f>
        <v>0</v>
      </c>
      <c r="B25" s="71" t="str">
        <f>IF(A25=0,"",Rezeptdruck!B32)</f>
        <v/>
      </c>
      <c r="C25" s="74" t="str">
        <f>IF(A25=0,"",Rezeptdruck!C32)</f>
        <v/>
      </c>
      <c r="D25" s="1">
        <f t="shared" si="0"/>
        <v>2.5000000000000001E-2</v>
      </c>
      <c r="E25" s="72" t="str">
        <f t="shared" si="1"/>
        <v/>
      </c>
      <c r="F25" s="1">
        <f>LARGE($D$3:$D$26,ROWS($F$3:F25))</f>
        <v>0</v>
      </c>
      <c r="G25" s="73">
        <f t="shared" si="2"/>
        <v>4</v>
      </c>
      <c r="H25" s="1" t="str">
        <f t="shared" si="3"/>
        <v/>
      </c>
      <c r="I25" s="1" t="str">
        <f t="shared" si="4"/>
        <v/>
      </c>
    </row>
    <row r="26" spans="1:9" x14ac:dyDescent="0.2">
      <c r="A26" s="70">
        <f>IF(Rezeptdruck!E33="",0,Rezeptdruck!E33)</f>
        <v>0</v>
      </c>
      <c r="B26" s="71" t="str">
        <f>IF(A26=0,"",Rezeptdruck!B33)</f>
        <v/>
      </c>
      <c r="C26" s="74" t="str">
        <f>IF(A26=0,"",Rezeptdruck!C33)</f>
        <v/>
      </c>
      <c r="D26" s="1">
        <f t="shared" si="0"/>
        <v>2.5999999999999999E-2</v>
      </c>
      <c r="E26" s="72" t="str">
        <f t="shared" si="1"/>
        <v/>
      </c>
      <c r="F26" s="1">
        <f>LARGE($D$3:$D$26,ROWS($F$3:F26))</f>
        <v>0</v>
      </c>
      <c r="G26" s="73">
        <f t="shared" si="2"/>
        <v>4</v>
      </c>
      <c r="H26" s="1" t="str">
        <f t="shared" si="3"/>
        <v/>
      </c>
      <c r="I26" s="1" t="str">
        <f t="shared" si="4"/>
        <v/>
      </c>
    </row>
  </sheetData>
  <sheetProtection password="EDD5" sheet="1" objects="1" scenarios="1" selectLockedCells="1" selectUnlockedCells="1"/>
  <pageMargins left="0.78749999999999998" right="0.78749999999999998" top="1.0249999999999999" bottom="1.0249999999999999" header="0.78749999999999998" footer="0.78749999999999998"/>
  <pageSetup paperSize="9" firstPageNumber="0" orientation="portrait" horizontalDpi="300" verticalDpi="300"/>
  <headerFooter alignWithMargins="0">
    <oddHeader>&amp;C&amp;A</oddHeader>
    <oddFooter>&amp;CSeite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zoomScale="75" zoomScaleNormal="75" workbookViewId="0">
      <selection activeCell="B1" sqref="A1:I37"/>
    </sheetView>
  </sheetViews>
  <sheetFormatPr baseColWidth="10" defaultColWidth="11.5703125" defaultRowHeight="12.75" x14ac:dyDescent="0.2"/>
  <cols>
    <col min="1" max="1" width="19.85546875" customWidth="1"/>
  </cols>
  <sheetData>
    <row r="1" spans="1:9" ht="15.75" x14ac:dyDescent="0.25">
      <c r="A1" s="75" t="s">
        <v>80</v>
      </c>
      <c r="B1" s="75" t="s">
        <v>159</v>
      </c>
      <c r="C1" s="75" t="s">
        <v>33</v>
      </c>
      <c r="D1" s="75" t="s">
        <v>34</v>
      </c>
      <c r="E1" s="75" t="s">
        <v>35</v>
      </c>
      <c r="F1" s="75" t="s">
        <v>160</v>
      </c>
      <c r="G1" s="75" t="s">
        <v>37</v>
      </c>
      <c r="H1" s="75" t="s">
        <v>161</v>
      </c>
      <c r="I1" s="75" t="s">
        <v>39</v>
      </c>
    </row>
    <row r="2" spans="1:9" ht="15" x14ac:dyDescent="0.2">
      <c r="A2" s="56" t="s">
        <v>87</v>
      </c>
      <c r="B2">
        <v>0</v>
      </c>
      <c r="C2">
        <v>1</v>
      </c>
      <c r="D2">
        <v>44</v>
      </c>
      <c r="E2">
        <v>5</v>
      </c>
      <c r="F2">
        <v>0</v>
      </c>
      <c r="G2">
        <v>39</v>
      </c>
      <c r="H2">
        <v>10</v>
      </c>
      <c r="I2">
        <v>0</v>
      </c>
    </row>
    <row r="3" spans="1:9" ht="15" x14ac:dyDescent="0.2">
      <c r="A3" s="56" t="s">
        <v>89</v>
      </c>
      <c r="B3">
        <v>0</v>
      </c>
      <c r="C3">
        <v>1</v>
      </c>
      <c r="D3">
        <v>14</v>
      </c>
      <c r="E3">
        <v>0</v>
      </c>
      <c r="F3">
        <v>0</v>
      </c>
      <c r="G3">
        <v>46</v>
      </c>
      <c r="H3">
        <v>34</v>
      </c>
      <c r="I3">
        <v>1</v>
      </c>
    </row>
    <row r="4" spans="1:9" ht="15" x14ac:dyDescent="0.2">
      <c r="A4" s="56" t="s">
        <v>42</v>
      </c>
      <c r="B4">
        <v>0</v>
      </c>
      <c r="C4">
        <v>0</v>
      </c>
      <c r="D4">
        <v>20</v>
      </c>
      <c r="E4">
        <v>2</v>
      </c>
      <c r="F4">
        <v>0</v>
      </c>
      <c r="G4">
        <v>58</v>
      </c>
      <c r="H4">
        <v>12</v>
      </c>
      <c r="I4">
        <v>0</v>
      </c>
    </row>
    <row r="5" spans="1:9" ht="15" x14ac:dyDescent="0.2">
      <c r="A5" s="56" t="s">
        <v>40</v>
      </c>
      <c r="B5">
        <v>50</v>
      </c>
      <c r="C5">
        <v>20</v>
      </c>
      <c r="D5">
        <v>11</v>
      </c>
      <c r="E5">
        <v>4</v>
      </c>
      <c r="F5">
        <v>0</v>
      </c>
      <c r="G5">
        <v>10</v>
      </c>
      <c r="H5">
        <v>0</v>
      </c>
      <c r="I5">
        <v>0</v>
      </c>
    </row>
    <row r="6" spans="1:9" ht="15" x14ac:dyDescent="0.2">
      <c r="A6" s="56" t="s">
        <v>92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</row>
    <row r="7" spans="1:9" ht="15" x14ac:dyDescent="0.2">
      <c r="A7" s="56" t="s">
        <v>94</v>
      </c>
      <c r="B7">
        <v>0</v>
      </c>
      <c r="C7">
        <v>0</v>
      </c>
      <c r="D7">
        <v>5</v>
      </c>
      <c r="E7">
        <v>2</v>
      </c>
      <c r="F7">
        <v>0</v>
      </c>
      <c r="G7">
        <v>77</v>
      </c>
      <c r="H7">
        <v>15</v>
      </c>
      <c r="I7">
        <v>0</v>
      </c>
    </row>
    <row r="8" spans="1:9" ht="15" x14ac:dyDescent="0.2">
      <c r="A8" s="56" t="s">
        <v>96</v>
      </c>
      <c r="B8">
        <v>0</v>
      </c>
      <c r="C8">
        <v>0</v>
      </c>
      <c r="D8">
        <v>8</v>
      </c>
      <c r="E8">
        <v>3</v>
      </c>
      <c r="F8">
        <v>0</v>
      </c>
      <c r="G8">
        <v>56</v>
      </c>
      <c r="H8">
        <v>26</v>
      </c>
      <c r="I8">
        <v>0</v>
      </c>
    </row>
    <row r="9" spans="1:9" ht="15" x14ac:dyDescent="0.2">
      <c r="A9" s="56" t="s">
        <v>98</v>
      </c>
      <c r="B9">
        <v>0</v>
      </c>
      <c r="C9">
        <v>0</v>
      </c>
      <c r="D9">
        <v>0</v>
      </c>
      <c r="E9">
        <v>0</v>
      </c>
      <c r="F9">
        <v>0</v>
      </c>
      <c r="G9">
        <v>12</v>
      </c>
      <c r="H9">
        <v>0</v>
      </c>
      <c r="I9">
        <v>0</v>
      </c>
    </row>
    <row r="10" spans="1:9" ht="15" x14ac:dyDescent="0.2">
      <c r="A10" s="56" t="s">
        <v>100</v>
      </c>
      <c r="B10">
        <v>0</v>
      </c>
      <c r="C10">
        <v>0</v>
      </c>
      <c r="D10">
        <v>28</v>
      </c>
      <c r="E10">
        <v>33</v>
      </c>
      <c r="F10">
        <v>0</v>
      </c>
      <c r="G10">
        <v>35</v>
      </c>
      <c r="H10">
        <v>3</v>
      </c>
      <c r="I10">
        <v>0</v>
      </c>
    </row>
    <row r="11" spans="1:9" ht="15" x14ac:dyDescent="0.2">
      <c r="A11" s="56" t="s">
        <v>41</v>
      </c>
      <c r="B11">
        <v>49</v>
      </c>
      <c r="C11">
        <v>19</v>
      </c>
      <c r="D11">
        <v>9</v>
      </c>
      <c r="E11">
        <v>3</v>
      </c>
      <c r="F11">
        <v>0</v>
      </c>
      <c r="G11">
        <v>8</v>
      </c>
      <c r="H11">
        <v>2</v>
      </c>
      <c r="I11">
        <v>0</v>
      </c>
    </row>
    <row r="12" spans="1:9" ht="15" x14ac:dyDescent="0.2">
      <c r="A12" s="56" t="s">
        <v>103</v>
      </c>
      <c r="B12">
        <v>0</v>
      </c>
      <c r="C12">
        <v>0</v>
      </c>
      <c r="D12">
        <v>11</v>
      </c>
      <c r="E12">
        <v>8</v>
      </c>
      <c r="F12">
        <v>0</v>
      </c>
      <c r="G12">
        <v>33</v>
      </c>
      <c r="H12">
        <v>50</v>
      </c>
      <c r="I12">
        <v>0</v>
      </c>
    </row>
    <row r="13" spans="1:9" ht="15" x14ac:dyDescent="0.2">
      <c r="A13" s="56" t="s">
        <v>105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</row>
    <row r="14" spans="1:9" ht="15" x14ac:dyDescent="0.2">
      <c r="A14" s="56" t="s">
        <v>107</v>
      </c>
      <c r="B14">
        <v>25</v>
      </c>
      <c r="C14">
        <v>1</v>
      </c>
      <c r="D14">
        <v>15</v>
      </c>
      <c r="E14">
        <v>1</v>
      </c>
      <c r="F14">
        <v>0</v>
      </c>
      <c r="G14">
        <v>31</v>
      </c>
      <c r="H14">
        <v>26</v>
      </c>
      <c r="I14">
        <v>1</v>
      </c>
    </row>
    <row r="15" spans="1:9" ht="15" x14ac:dyDescent="0.2">
      <c r="A15" s="56" t="s">
        <v>109</v>
      </c>
      <c r="B15">
        <v>0</v>
      </c>
      <c r="C15">
        <v>0</v>
      </c>
      <c r="D15">
        <v>9</v>
      </c>
      <c r="E15">
        <v>5</v>
      </c>
      <c r="F15">
        <v>0</v>
      </c>
      <c r="G15">
        <v>59</v>
      </c>
      <c r="H15">
        <v>2</v>
      </c>
      <c r="I15">
        <v>0</v>
      </c>
    </row>
    <row r="16" spans="1:9" ht="15" x14ac:dyDescent="0.2">
      <c r="A16" s="56" t="s">
        <v>111</v>
      </c>
      <c r="B16">
        <v>0</v>
      </c>
      <c r="C16">
        <v>0</v>
      </c>
      <c r="D16">
        <v>7</v>
      </c>
      <c r="E16">
        <v>0</v>
      </c>
      <c r="F16">
        <v>0</v>
      </c>
      <c r="G16">
        <v>71</v>
      </c>
      <c r="H16">
        <v>18</v>
      </c>
      <c r="I16">
        <v>0</v>
      </c>
    </row>
    <row r="17" spans="1:9" ht="15" x14ac:dyDescent="0.2">
      <c r="A17" s="56" t="s">
        <v>113</v>
      </c>
      <c r="B17">
        <v>0</v>
      </c>
      <c r="C17">
        <v>0</v>
      </c>
      <c r="D17">
        <v>7</v>
      </c>
      <c r="E17">
        <v>42</v>
      </c>
      <c r="F17">
        <v>0</v>
      </c>
      <c r="G17">
        <v>45</v>
      </c>
      <c r="H17">
        <v>3</v>
      </c>
      <c r="I17">
        <v>0</v>
      </c>
    </row>
    <row r="18" spans="1:9" ht="15" x14ac:dyDescent="0.2">
      <c r="A18" s="56" t="s">
        <v>33</v>
      </c>
      <c r="B18">
        <v>0</v>
      </c>
      <c r="C18">
        <v>99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</row>
    <row r="19" spans="1:9" ht="15" x14ac:dyDescent="0.2">
      <c r="A19" s="56" t="s">
        <v>116</v>
      </c>
      <c r="B19">
        <v>0</v>
      </c>
      <c r="C19">
        <v>0</v>
      </c>
      <c r="D19">
        <v>14</v>
      </c>
      <c r="E19">
        <v>3</v>
      </c>
      <c r="F19">
        <v>0</v>
      </c>
      <c r="G19">
        <v>69</v>
      </c>
      <c r="H19">
        <v>12</v>
      </c>
      <c r="I19">
        <v>1</v>
      </c>
    </row>
    <row r="20" spans="1:9" ht="15" x14ac:dyDescent="0.2">
      <c r="A20" s="56" t="s">
        <v>118</v>
      </c>
      <c r="B20">
        <v>49</v>
      </c>
      <c r="C20">
        <v>16</v>
      </c>
      <c r="D20">
        <v>8</v>
      </c>
      <c r="E20">
        <v>2</v>
      </c>
      <c r="F20">
        <v>0</v>
      </c>
      <c r="G20">
        <v>15</v>
      </c>
      <c r="H20">
        <v>3</v>
      </c>
      <c r="I20">
        <v>0</v>
      </c>
    </row>
    <row r="21" spans="1:9" ht="15" x14ac:dyDescent="0.2">
      <c r="A21" s="56" t="s">
        <v>120</v>
      </c>
      <c r="B21">
        <v>0</v>
      </c>
      <c r="C21">
        <v>1</v>
      </c>
      <c r="D21">
        <v>44</v>
      </c>
      <c r="E21">
        <v>5</v>
      </c>
      <c r="F21">
        <v>0</v>
      </c>
      <c r="G21">
        <v>39</v>
      </c>
      <c r="H21">
        <v>10</v>
      </c>
      <c r="I21">
        <v>0</v>
      </c>
    </row>
    <row r="22" spans="1:9" ht="15" x14ac:dyDescent="0.2">
      <c r="A22" s="56" t="s">
        <v>122</v>
      </c>
      <c r="B22">
        <v>0</v>
      </c>
      <c r="C22">
        <v>0</v>
      </c>
      <c r="D22">
        <v>11</v>
      </c>
      <c r="E22">
        <v>1</v>
      </c>
      <c r="F22">
        <v>0</v>
      </c>
      <c r="G22">
        <v>63</v>
      </c>
      <c r="H22">
        <v>25</v>
      </c>
      <c r="I22">
        <v>0</v>
      </c>
    </row>
    <row r="23" spans="1:9" ht="15" x14ac:dyDescent="0.2">
      <c r="A23" s="56" t="s">
        <v>124</v>
      </c>
      <c r="B23">
        <v>0</v>
      </c>
      <c r="C23">
        <v>0</v>
      </c>
      <c r="D23">
        <v>4</v>
      </c>
      <c r="E23">
        <v>2</v>
      </c>
      <c r="F23">
        <v>0</v>
      </c>
      <c r="G23">
        <v>61</v>
      </c>
      <c r="H23">
        <v>21</v>
      </c>
      <c r="I23">
        <v>9</v>
      </c>
    </row>
    <row r="24" spans="1:9" ht="15" x14ac:dyDescent="0.2">
      <c r="A24" s="56" t="s">
        <v>126</v>
      </c>
      <c r="B24">
        <v>0</v>
      </c>
      <c r="C24">
        <v>0</v>
      </c>
      <c r="D24">
        <v>4</v>
      </c>
      <c r="E24">
        <v>2</v>
      </c>
      <c r="F24">
        <v>0</v>
      </c>
      <c r="G24">
        <v>74</v>
      </c>
      <c r="H24">
        <v>12</v>
      </c>
      <c r="I24">
        <v>4</v>
      </c>
    </row>
    <row r="25" spans="1:9" ht="15" x14ac:dyDescent="0.2">
      <c r="A25" s="56" t="s">
        <v>128</v>
      </c>
      <c r="B25">
        <v>0</v>
      </c>
      <c r="C25">
        <v>1</v>
      </c>
      <c r="D25">
        <v>22</v>
      </c>
      <c r="E25">
        <v>3</v>
      </c>
      <c r="F25">
        <v>0</v>
      </c>
      <c r="G25">
        <v>38</v>
      </c>
      <c r="H25">
        <v>34</v>
      </c>
      <c r="I25">
        <v>2</v>
      </c>
    </row>
    <row r="26" spans="1:9" ht="15" x14ac:dyDescent="0.2">
      <c r="A26" s="56" t="s">
        <v>130</v>
      </c>
      <c r="B26">
        <v>0</v>
      </c>
      <c r="C26">
        <v>0</v>
      </c>
      <c r="D26">
        <v>0</v>
      </c>
      <c r="E26">
        <v>0</v>
      </c>
      <c r="F26">
        <v>90</v>
      </c>
      <c r="G26">
        <v>4</v>
      </c>
      <c r="H26">
        <v>4</v>
      </c>
      <c r="I26">
        <v>0</v>
      </c>
    </row>
    <row r="27" spans="1:9" ht="15" x14ac:dyDescent="0.2">
      <c r="A27" s="56" t="s">
        <v>132</v>
      </c>
      <c r="B27">
        <v>0</v>
      </c>
      <c r="C27">
        <v>0</v>
      </c>
      <c r="D27">
        <v>13</v>
      </c>
      <c r="E27">
        <v>3</v>
      </c>
      <c r="F27">
        <v>0</v>
      </c>
      <c r="G27">
        <v>22</v>
      </c>
      <c r="H27">
        <v>60</v>
      </c>
      <c r="I27">
        <v>1</v>
      </c>
    </row>
    <row r="28" spans="1:9" ht="15" x14ac:dyDescent="0.2">
      <c r="A28" s="56" t="s">
        <v>134</v>
      </c>
      <c r="B28">
        <v>0</v>
      </c>
      <c r="C28">
        <v>1</v>
      </c>
      <c r="D28">
        <v>28</v>
      </c>
      <c r="E28">
        <v>13</v>
      </c>
      <c r="F28">
        <v>0</v>
      </c>
      <c r="G28">
        <v>46</v>
      </c>
      <c r="H28">
        <v>6</v>
      </c>
      <c r="I28">
        <v>0</v>
      </c>
    </row>
    <row r="29" spans="1:9" ht="15" x14ac:dyDescent="0.2">
      <c r="A29" s="56" t="s">
        <v>136</v>
      </c>
      <c r="B29">
        <v>0</v>
      </c>
      <c r="C29">
        <v>0</v>
      </c>
      <c r="D29">
        <v>10</v>
      </c>
      <c r="E29">
        <v>5</v>
      </c>
      <c r="F29">
        <v>0</v>
      </c>
      <c r="G29">
        <v>40</v>
      </c>
      <c r="H29">
        <v>43</v>
      </c>
      <c r="I29">
        <v>0</v>
      </c>
    </row>
    <row r="30" spans="1:9" ht="15" x14ac:dyDescent="0.2">
      <c r="A30" s="56" t="s">
        <v>138</v>
      </c>
      <c r="B30">
        <v>0</v>
      </c>
      <c r="C30">
        <v>0</v>
      </c>
      <c r="D30">
        <v>5</v>
      </c>
      <c r="E30">
        <v>40</v>
      </c>
      <c r="F30">
        <v>0</v>
      </c>
      <c r="G30">
        <v>48</v>
      </c>
      <c r="H30">
        <v>6</v>
      </c>
      <c r="I30">
        <v>0</v>
      </c>
    </row>
    <row r="31" spans="1:9" ht="15" x14ac:dyDescent="0.2">
      <c r="A31" s="56" t="s">
        <v>140</v>
      </c>
      <c r="B31">
        <v>0</v>
      </c>
      <c r="C31">
        <v>0</v>
      </c>
      <c r="D31">
        <v>11</v>
      </c>
      <c r="E31">
        <v>5</v>
      </c>
      <c r="F31">
        <v>0</v>
      </c>
      <c r="G31">
        <v>24</v>
      </c>
      <c r="H31">
        <v>50</v>
      </c>
      <c r="I31">
        <v>8</v>
      </c>
    </row>
    <row r="32" spans="1:9" ht="15" x14ac:dyDescent="0.2">
      <c r="A32" s="56" t="s">
        <v>142</v>
      </c>
      <c r="B32">
        <v>0</v>
      </c>
      <c r="C32">
        <v>0</v>
      </c>
      <c r="D32">
        <v>7</v>
      </c>
      <c r="E32">
        <v>4</v>
      </c>
      <c r="F32">
        <v>0</v>
      </c>
      <c r="G32">
        <v>16</v>
      </c>
      <c r="H32">
        <v>70</v>
      </c>
      <c r="I32">
        <v>1</v>
      </c>
    </row>
    <row r="33" spans="1:9" ht="15" x14ac:dyDescent="0.2">
      <c r="A33" s="56" t="s">
        <v>144</v>
      </c>
      <c r="B33">
        <v>0</v>
      </c>
      <c r="C33">
        <v>0</v>
      </c>
      <c r="D33">
        <v>3</v>
      </c>
      <c r="E33">
        <v>4</v>
      </c>
      <c r="F33">
        <v>0</v>
      </c>
      <c r="G33">
        <v>83</v>
      </c>
      <c r="H33">
        <v>4</v>
      </c>
      <c r="I33">
        <v>1</v>
      </c>
    </row>
    <row r="34" spans="1:9" ht="15" x14ac:dyDescent="0.2">
      <c r="A34" s="56" t="s">
        <v>35</v>
      </c>
      <c r="B34">
        <v>0</v>
      </c>
      <c r="C34">
        <v>0</v>
      </c>
      <c r="D34">
        <v>0</v>
      </c>
      <c r="E34">
        <v>99</v>
      </c>
      <c r="F34">
        <v>0</v>
      </c>
      <c r="G34">
        <v>0</v>
      </c>
      <c r="H34">
        <v>0</v>
      </c>
      <c r="I34">
        <v>0</v>
      </c>
    </row>
    <row r="35" spans="1:9" ht="15" x14ac:dyDescent="0.2">
      <c r="A35" s="56" t="s">
        <v>148</v>
      </c>
      <c r="B35">
        <v>3</v>
      </c>
      <c r="C35">
        <v>1</v>
      </c>
      <c r="D35">
        <v>26</v>
      </c>
      <c r="E35">
        <v>6</v>
      </c>
      <c r="F35">
        <v>0</v>
      </c>
      <c r="G35">
        <v>37</v>
      </c>
      <c r="H35">
        <v>17</v>
      </c>
      <c r="I35">
        <v>3</v>
      </c>
    </row>
    <row r="36" spans="1:9" ht="15" x14ac:dyDescent="0.2">
      <c r="A36" s="56" t="s">
        <v>150</v>
      </c>
      <c r="B36">
        <v>0</v>
      </c>
      <c r="C36">
        <v>0</v>
      </c>
      <c r="D36">
        <v>8</v>
      </c>
      <c r="E36">
        <v>4</v>
      </c>
      <c r="F36">
        <v>0</v>
      </c>
      <c r="G36">
        <v>20</v>
      </c>
      <c r="H36">
        <v>68</v>
      </c>
      <c r="I36">
        <v>0</v>
      </c>
    </row>
    <row r="37" spans="1:9" ht="15" x14ac:dyDescent="0.2">
      <c r="A37" s="64" t="s">
        <v>152</v>
      </c>
      <c r="B37">
        <v>0</v>
      </c>
      <c r="C37">
        <v>0</v>
      </c>
      <c r="D37">
        <v>7</v>
      </c>
      <c r="E37">
        <v>2</v>
      </c>
      <c r="F37">
        <v>0</v>
      </c>
      <c r="G37">
        <v>18</v>
      </c>
      <c r="H37">
        <v>60</v>
      </c>
      <c r="I37">
        <v>0</v>
      </c>
    </row>
  </sheetData>
  <sheetProtection password="EDD5" sheet="1" objects="1" scenarios="1" selectLockedCells="1" selectUnlockedCells="1"/>
  <pageMargins left="0.78749999999999998" right="0.78749999999999998" top="1.0249999999999999" bottom="1.0249999999999999" header="0.78749999999999998" footer="0.78749999999999998"/>
  <pageSetup paperSize="9" firstPageNumber="0" orientation="portrait" horizontalDpi="300" verticalDpi="300"/>
  <headerFooter alignWithMargins="0">
    <oddHeader>&amp;C&amp;A</oddHeader>
    <oddFooter>&amp;CSeite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1</vt:i4>
      </vt:variant>
    </vt:vector>
  </HeadingPairs>
  <TitlesOfParts>
    <vt:vector size="8" baseType="lpstr">
      <vt:lpstr>Rezepteingabe</vt:lpstr>
      <vt:lpstr>Rezeptdruck</vt:lpstr>
      <vt:lpstr>Etikett deutsch</vt:lpstr>
      <vt:lpstr>Etikett INCI</vt:lpstr>
      <vt:lpstr>VZ ändern</vt:lpstr>
      <vt:lpstr>Tabelle5</vt:lpstr>
      <vt:lpstr>Tabelle6</vt:lpstr>
      <vt:lpstr>Rezeptdruck!Druckbereich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Annett</dc:creator>
  <cp:lastModifiedBy>Annett</cp:lastModifiedBy>
  <cp:lastPrinted>2016-06-08T20:45:16Z</cp:lastPrinted>
  <dcterms:created xsi:type="dcterms:W3CDTF">2016-06-05T01:28:33Z</dcterms:created>
  <dcterms:modified xsi:type="dcterms:W3CDTF">2017-03-12T14:50:00Z</dcterms:modified>
</cp:coreProperties>
</file>